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schlicht\Desktop\"/>
    </mc:Choice>
  </mc:AlternateContent>
  <bookViews>
    <workbookView xWindow="7536" yWindow="0" windowWidth="19176" windowHeight="10200"/>
  </bookViews>
  <sheets>
    <sheet name="Hintergrund" sheetId="99" r:id="rId1"/>
    <sheet name="Tabellen 1-8" sheetId="100" r:id="rId2"/>
    <sheet name="Tabellen 9-18" sheetId="101" r:id="rId3"/>
    <sheet name="Tabellen 19-34" sheetId="102" r:id="rId4"/>
    <sheet name="Tabellen 35-46" sheetId="98" r:id="rId5"/>
    <sheet name="Tabelle 47+48" sheetId="104" r:id="rId6"/>
  </sheets>
  <externalReferences>
    <externalReference r:id="rId7"/>
  </externalReferences>
  <definedNames>
    <definedName name="AnimalsList">[1]Translations!$M$2:$M$42</definedName>
    <definedName name="GeneralLegislation">[1]Translations!$W$2:$W$4</definedName>
    <definedName name="GeneticStatusList">[1]Translations!$BJ$2:$BJ$4</definedName>
    <definedName name="Methods_of_tissue_sampling">[1]Translations!$CF$2:$CF$13</definedName>
    <definedName name="NHPGenerationList">[1]Translations!$BF$2:$BF$4</definedName>
    <definedName name="NHPSourceList">[1]Translations!$AY$2:$AY$7</definedName>
    <definedName name="ParticularLegislation">[1]Translations!$AD$2:$AD$11</definedName>
    <definedName name="PlaceBirthList">[1]Translations!$AR$2:$AR$5</definedName>
    <definedName name="Purposes">[1]Translations!$B$2:$B$75</definedName>
    <definedName name="SeverityList">[1]Translations!$AL$2:$AL$5</definedName>
    <definedName name="YesNotList">[1]Translations!$AP$2:$AP$3</definedName>
    <definedName name="YesValue">[1]Translations!$AP$3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3" i="98" l="1"/>
  <c r="G103" i="98"/>
  <c r="F103" i="98"/>
  <c r="E103" i="98"/>
  <c r="D103" i="98"/>
  <c r="C103" i="98"/>
  <c r="I102" i="98"/>
  <c r="I101" i="98"/>
  <c r="I100" i="98"/>
  <c r="I99" i="98"/>
  <c r="I98" i="98"/>
  <c r="I97" i="98"/>
  <c r="I96" i="98"/>
  <c r="I95" i="98"/>
  <c r="I94" i="98"/>
  <c r="I93" i="98"/>
  <c r="E87" i="98"/>
  <c r="D87" i="98"/>
  <c r="C87" i="98"/>
  <c r="F86" i="98"/>
  <c r="F85" i="98"/>
  <c r="F84" i="98"/>
  <c r="F83" i="98"/>
  <c r="F82" i="98"/>
  <c r="F81" i="98"/>
  <c r="F80" i="98"/>
  <c r="F79" i="98"/>
  <c r="F78" i="98"/>
  <c r="F77" i="98"/>
  <c r="E71" i="98"/>
  <c r="D71" i="98"/>
  <c r="C71" i="98"/>
  <c r="F70" i="98"/>
  <c r="F69" i="98"/>
  <c r="F68" i="98"/>
  <c r="F67" i="98"/>
  <c r="F66" i="98"/>
  <c r="F65" i="98"/>
  <c r="F64" i="98"/>
  <c r="F63" i="98"/>
  <c r="F62" i="98"/>
  <c r="F61" i="98"/>
  <c r="I103" i="98" l="1"/>
  <c r="I104" i="98" s="1"/>
  <c r="F71" i="98"/>
  <c r="F72" i="98" s="1"/>
  <c r="C104" i="98"/>
  <c r="G104" i="98"/>
  <c r="F87" i="98"/>
  <c r="F88" i="98" s="1"/>
  <c r="C72" i="98"/>
  <c r="H104" i="98"/>
  <c r="F104" i="98"/>
  <c r="E104" i="98"/>
  <c r="C88" i="98"/>
  <c r="D104" i="98" l="1"/>
  <c r="E88" i="98"/>
  <c r="D72" i="98"/>
  <c r="E72" i="98"/>
  <c r="D88" i="98"/>
  <c r="C99" i="104" l="1"/>
  <c r="D99" i="104" s="1"/>
  <c r="D58" i="104" l="1"/>
  <c r="D98" i="104"/>
  <c r="D94" i="104"/>
  <c r="D86" i="104"/>
  <c r="D78" i="104"/>
  <c r="D70" i="104"/>
  <c r="D62" i="104"/>
  <c r="D97" i="104"/>
  <c r="D89" i="104"/>
  <c r="D77" i="104"/>
  <c r="D96" i="104"/>
  <c r="D92" i="104"/>
  <c r="D88" i="104"/>
  <c r="D84" i="104"/>
  <c r="D80" i="104"/>
  <c r="D76" i="104"/>
  <c r="D72" i="104"/>
  <c r="D68" i="104"/>
  <c r="D64" i="104"/>
  <c r="D60" i="104"/>
  <c r="D95" i="104"/>
  <c r="D91" i="104"/>
  <c r="D87" i="104"/>
  <c r="D83" i="104"/>
  <c r="D79" i="104"/>
  <c r="D75" i="104"/>
  <c r="D71" i="104"/>
  <c r="D67" i="104"/>
  <c r="D63" i="104"/>
  <c r="D59" i="104"/>
  <c r="D90" i="104"/>
  <c r="D82" i="104"/>
  <c r="D74" i="104"/>
  <c r="D66" i="104"/>
  <c r="D93" i="104"/>
  <c r="D85" i="104"/>
  <c r="D81" i="104"/>
  <c r="D73" i="104"/>
  <c r="D69" i="104"/>
  <c r="D65" i="104"/>
  <c r="D61" i="104"/>
  <c r="C50" i="104"/>
  <c r="D50" i="104" l="1"/>
  <c r="D10" i="104"/>
  <c r="D14" i="104"/>
  <c r="D18" i="104"/>
  <c r="D22" i="104"/>
  <c r="D26" i="104"/>
  <c r="D30" i="104"/>
  <c r="D34" i="104"/>
  <c r="D38" i="104"/>
  <c r="D42" i="104"/>
  <c r="D46" i="104"/>
  <c r="D11" i="104"/>
  <c r="D15" i="104"/>
  <c r="D19" i="104"/>
  <c r="D23" i="104"/>
  <c r="D27" i="104"/>
  <c r="D31" i="104"/>
  <c r="D35" i="104"/>
  <c r="D39" i="104"/>
  <c r="D43" i="104"/>
  <c r="D47" i="104"/>
  <c r="D12" i="104"/>
  <c r="D16" i="104"/>
  <c r="D20" i="104"/>
  <c r="D24" i="104"/>
  <c r="D28" i="104"/>
  <c r="D32" i="104"/>
  <c r="D36" i="104"/>
  <c r="D40" i="104"/>
  <c r="D44" i="104"/>
  <c r="D48" i="104"/>
  <c r="D49" i="104"/>
  <c r="D13" i="104"/>
  <c r="D17" i="104"/>
  <c r="D21" i="104"/>
  <c r="D25" i="104"/>
  <c r="D29" i="104"/>
  <c r="D33" i="104"/>
  <c r="D37" i="104"/>
  <c r="D41" i="104"/>
  <c r="D45" i="104"/>
  <c r="D9" i="104"/>
  <c r="I441" i="102"/>
  <c r="G441" i="102"/>
  <c r="E441" i="102"/>
  <c r="C441" i="102"/>
  <c r="K440" i="102"/>
  <c r="J440" i="102" s="1"/>
  <c r="K439" i="102"/>
  <c r="J439" i="102" s="1"/>
  <c r="D439" i="102"/>
  <c r="K438" i="102"/>
  <c r="J438" i="102" s="1"/>
  <c r="K437" i="102"/>
  <c r="J437" i="102"/>
  <c r="H437" i="102"/>
  <c r="F437" i="102"/>
  <c r="D437" i="102"/>
  <c r="K436" i="102"/>
  <c r="J436" i="102" s="1"/>
  <c r="K435" i="102"/>
  <c r="I429" i="102"/>
  <c r="G429" i="102"/>
  <c r="E429" i="102"/>
  <c r="C429" i="102"/>
  <c r="K428" i="102"/>
  <c r="J428" i="102" s="1"/>
  <c r="K427" i="102"/>
  <c r="J427" i="102" s="1"/>
  <c r="K426" i="102"/>
  <c r="J426" i="102"/>
  <c r="H426" i="102"/>
  <c r="F426" i="102"/>
  <c r="D426" i="102"/>
  <c r="I420" i="102"/>
  <c r="G420" i="102"/>
  <c r="E420" i="102"/>
  <c r="C420" i="102"/>
  <c r="K419" i="102"/>
  <c r="J419" i="102" s="1"/>
  <c r="K418" i="102"/>
  <c r="J418" i="102" s="1"/>
  <c r="K417" i="102"/>
  <c r="J417" i="102" s="1"/>
  <c r="I411" i="102"/>
  <c r="G411" i="102"/>
  <c r="E411" i="102"/>
  <c r="C411" i="102"/>
  <c r="K410" i="102"/>
  <c r="J410" i="102" s="1"/>
  <c r="K409" i="102"/>
  <c r="J409" i="102" s="1"/>
  <c r="K408" i="102"/>
  <c r="J408" i="102" s="1"/>
  <c r="K407" i="102"/>
  <c r="J407" i="102" s="1"/>
  <c r="K406" i="102"/>
  <c r="J406" i="102" s="1"/>
  <c r="D406" i="102"/>
  <c r="K405" i="102"/>
  <c r="J405" i="102"/>
  <c r="H405" i="102"/>
  <c r="F405" i="102"/>
  <c r="D405" i="102"/>
  <c r="K404" i="102"/>
  <c r="J404" i="102" s="1"/>
  <c r="D404" i="102"/>
  <c r="K403" i="102"/>
  <c r="J403" i="102" s="1"/>
  <c r="K402" i="102"/>
  <c r="F402" i="102" s="1"/>
  <c r="D402" i="102"/>
  <c r="K401" i="102"/>
  <c r="J401" i="102" s="1"/>
  <c r="K400" i="102"/>
  <c r="J400" i="102" s="1"/>
  <c r="K399" i="102"/>
  <c r="J399" i="102" s="1"/>
  <c r="K398" i="102"/>
  <c r="F398" i="102" s="1"/>
  <c r="K397" i="102"/>
  <c r="J397" i="102" s="1"/>
  <c r="K396" i="102"/>
  <c r="J396" i="102" s="1"/>
  <c r="K395" i="102"/>
  <c r="J395" i="102" s="1"/>
  <c r="K394" i="102"/>
  <c r="J394" i="102" s="1"/>
  <c r="K393" i="102"/>
  <c r="J393" i="102" s="1"/>
  <c r="I386" i="102"/>
  <c r="G386" i="102"/>
  <c r="E386" i="102"/>
  <c r="C386" i="102"/>
  <c r="K385" i="102"/>
  <c r="J385" i="102" s="1"/>
  <c r="K384" i="102"/>
  <c r="J384" i="102" s="1"/>
  <c r="K383" i="102"/>
  <c r="J383" i="102" s="1"/>
  <c r="K382" i="102"/>
  <c r="J382" i="102" s="1"/>
  <c r="F382" i="102"/>
  <c r="D382" i="102"/>
  <c r="I375" i="102"/>
  <c r="G375" i="102"/>
  <c r="E375" i="102"/>
  <c r="C375" i="102"/>
  <c r="K374" i="102"/>
  <c r="J374" i="102"/>
  <c r="H374" i="102"/>
  <c r="F374" i="102"/>
  <c r="D374" i="102"/>
  <c r="K373" i="102"/>
  <c r="J373" i="102" s="1"/>
  <c r="D373" i="102"/>
  <c r="K372" i="102"/>
  <c r="J372" i="102" s="1"/>
  <c r="K371" i="102"/>
  <c r="J371" i="102" s="1"/>
  <c r="D12" i="100"/>
  <c r="D13" i="100"/>
  <c r="D14" i="100"/>
  <c r="D15" i="100"/>
  <c r="D16" i="100"/>
  <c r="D17" i="100"/>
  <c r="D18" i="100"/>
  <c r="D19" i="100"/>
  <c r="D20" i="100"/>
  <c r="D21" i="100"/>
  <c r="D22" i="100"/>
  <c r="D23" i="100"/>
  <c r="D24" i="100"/>
  <c r="D25" i="100"/>
  <c r="D26" i="100"/>
  <c r="D27" i="100"/>
  <c r="D28" i="100"/>
  <c r="D29" i="100"/>
  <c r="D30" i="100"/>
  <c r="D31" i="100"/>
  <c r="D32" i="100"/>
  <c r="D33" i="100"/>
  <c r="D34" i="100"/>
  <c r="D35" i="100"/>
  <c r="D36" i="100"/>
  <c r="D37" i="100"/>
  <c r="D38" i="100"/>
  <c r="D39" i="100"/>
  <c r="D40" i="100"/>
  <c r="D41" i="100"/>
  <c r="D42" i="100"/>
  <c r="D43" i="100"/>
  <c r="D44" i="100"/>
  <c r="D45" i="100"/>
  <c r="D46" i="100"/>
  <c r="D47" i="100"/>
  <c r="D48" i="100"/>
  <c r="D49" i="100"/>
  <c r="D50" i="100"/>
  <c r="D51" i="100"/>
  <c r="D11" i="100"/>
  <c r="K441" i="102" l="1"/>
  <c r="F394" i="102"/>
  <c r="D396" i="102"/>
  <c r="D398" i="102"/>
  <c r="D400" i="102"/>
  <c r="H394" i="102"/>
  <c r="F396" i="102"/>
  <c r="H398" i="102"/>
  <c r="F400" i="102"/>
  <c r="D418" i="102"/>
  <c r="D384" i="102"/>
  <c r="D372" i="102"/>
  <c r="F384" i="102"/>
  <c r="J398" i="102"/>
  <c r="H402" i="102"/>
  <c r="F406" i="102"/>
  <c r="D410" i="102"/>
  <c r="D417" i="102"/>
  <c r="F372" i="102"/>
  <c r="D383" i="102"/>
  <c r="H384" i="102"/>
  <c r="J402" i="102"/>
  <c r="H406" i="102"/>
  <c r="F410" i="102"/>
  <c r="F417" i="102"/>
  <c r="F419" i="102"/>
  <c r="D440" i="102"/>
  <c r="D371" i="102"/>
  <c r="D409" i="102"/>
  <c r="H410" i="102"/>
  <c r="H419" i="102"/>
  <c r="I387" i="102"/>
  <c r="H372" i="102"/>
  <c r="H382" i="102"/>
  <c r="H396" i="102"/>
  <c r="H400" i="102"/>
  <c r="F404" i="102"/>
  <c r="D408" i="102"/>
  <c r="H417" i="102"/>
  <c r="D428" i="102"/>
  <c r="D435" i="102"/>
  <c r="F439" i="102"/>
  <c r="I442" i="102"/>
  <c r="D394" i="102"/>
  <c r="D403" i="102"/>
  <c r="H404" i="102"/>
  <c r="F408" i="102"/>
  <c r="D419" i="102"/>
  <c r="F428" i="102"/>
  <c r="F435" i="102"/>
  <c r="H439" i="102"/>
  <c r="K386" i="102"/>
  <c r="C387" i="102" s="1"/>
  <c r="D385" i="102"/>
  <c r="D407" i="102"/>
  <c r="H408" i="102"/>
  <c r="D427" i="102"/>
  <c r="H428" i="102"/>
  <c r="H435" i="102"/>
  <c r="K387" i="102"/>
  <c r="E387" i="102"/>
  <c r="G387" i="102"/>
  <c r="K442" i="102"/>
  <c r="C442" i="102"/>
  <c r="E442" i="102"/>
  <c r="G442" i="102"/>
  <c r="D393" i="102"/>
  <c r="D395" i="102"/>
  <c r="D401" i="102"/>
  <c r="K411" i="102"/>
  <c r="D438" i="102"/>
  <c r="F371" i="102"/>
  <c r="F373" i="102"/>
  <c r="F383" i="102"/>
  <c r="F385" i="102"/>
  <c r="F393" i="102"/>
  <c r="F395" i="102"/>
  <c r="F397" i="102"/>
  <c r="F399" i="102"/>
  <c r="F401" i="102"/>
  <c r="F403" i="102"/>
  <c r="F407" i="102"/>
  <c r="F409" i="102"/>
  <c r="F418" i="102"/>
  <c r="F427" i="102"/>
  <c r="J435" i="102"/>
  <c r="F436" i="102"/>
  <c r="F438" i="102"/>
  <c r="F440" i="102"/>
  <c r="K429" i="102"/>
  <c r="C430" i="102" s="1"/>
  <c r="D436" i="102"/>
  <c r="H371" i="102"/>
  <c r="H373" i="102"/>
  <c r="H383" i="102"/>
  <c r="H385" i="102"/>
  <c r="H393" i="102"/>
  <c r="H395" i="102"/>
  <c r="H397" i="102"/>
  <c r="H399" i="102"/>
  <c r="H401" i="102"/>
  <c r="H403" i="102"/>
  <c r="H407" i="102"/>
  <c r="H409" i="102"/>
  <c r="H418" i="102"/>
  <c r="H427" i="102"/>
  <c r="H436" i="102"/>
  <c r="H438" i="102"/>
  <c r="H440" i="102"/>
  <c r="K375" i="102"/>
  <c r="D397" i="102"/>
  <c r="D399" i="102"/>
  <c r="K420" i="102"/>
  <c r="E421" i="102" s="1"/>
  <c r="U121" i="98"/>
  <c r="U122" i="98"/>
  <c r="U120" i="98"/>
  <c r="I412" i="102" l="1"/>
  <c r="K412" i="102"/>
  <c r="E412" i="102"/>
  <c r="K376" i="102"/>
  <c r="I376" i="102"/>
  <c r="C421" i="102"/>
  <c r="G430" i="102"/>
  <c r="I430" i="102"/>
  <c r="K430" i="102"/>
  <c r="G412" i="102"/>
  <c r="E430" i="102"/>
  <c r="G421" i="102"/>
  <c r="E376" i="102"/>
  <c r="C376" i="102"/>
  <c r="G376" i="102"/>
  <c r="K421" i="102"/>
  <c r="I421" i="102"/>
  <c r="C412" i="102"/>
  <c r="H150" i="98"/>
  <c r="G150" i="98"/>
  <c r="F150" i="98"/>
  <c r="E150" i="98"/>
  <c r="D150" i="98"/>
  <c r="C150" i="98"/>
  <c r="I149" i="98"/>
  <c r="I148" i="98"/>
  <c r="I147" i="98"/>
  <c r="E141" i="98"/>
  <c r="D141" i="98"/>
  <c r="C141" i="98"/>
  <c r="F140" i="98"/>
  <c r="F139" i="98"/>
  <c r="F138" i="98"/>
  <c r="E132" i="98"/>
  <c r="D132" i="98"/>
  <c r="C132" i="98"/>
  <c r="F131" i="98"/>
  <c r="F130" i="98"/>
  <c r="F129" i="98"/>
  <c r="U123" i="98"/>
  <c r="T123" i="98"/>
  <c r="S123" i="98"/>
  <c r="R123" i="98"/>
  <c r="Q123" i="98"/>
  <c r="P123" i="98"/>
  <c r="O123" i="98"/>
  <c r="N123" i="98"/>
  <c r="M123" i="98"/>
  <c r="L123" i="98"/>
  <c r="K123" i="98"/>
  <c r="J123" i="98"/>
  <c r="I123" i="98"/>
  <c r="H123" i="98"/>
  <c r="G123" i="98"/>
  <c r="F123" i="98"/>
  <c r="E123" i="98"/>
  <c r="D123" i="98"/>
  <c r="C123" i="98"/>
  <c r="E114" i="98"/>
  <c r="D114" i="98"/>
  <c r="C114" i="98"/>
  <c r="F113" i="98"/>
  <c r="F112" i="98"/>
  <c r="F111" i="98"/>
  <c r="T55" i="98"/>
  <c r="S55" i="98"/>
  <c r="R55" i="98"/>
  <c r="Q55" i="98"/>
  <c r="P55" i="98"/>
  <c r="O55" i="98"/>
  <c r="N55" i="98"/>
  <c r="M55" i="98"/>
  <c r="L55" i="98"/>
  <c r="K55" i="98"/>
  <c r="J55" i="98"/>
  <c r="I55" i="98"/>
  <c r="H55" i="98"/>
  <c r="G55" i="98"/>
  <c r="F55" i="98"/>
  <c r="E55" i="98"/>
  <c r="D55" i="98"/>
  <c r="C55" i="98"/>
  <c r="U54" i="98"/>
  <c r="U53" i="98"/>
  <c r="U52" i="98"/>
  <c r="U51" i="98"/>
  <c r="U50" i="98"/>
  <c r="U49" i="98"/>
  <c r="U48" i="98"/>
  <c r="U47" i="98"/>
  <c r="U46" i="98"/>
  <c r="U45" i="98"/>
  <c r="F33" i="98"/>
  <c r="E33" i="98"/>
  <c r="D33" i="98"/>
  <c r="C33" i="98"/>
  <c r="G32" i="98"/>
  <c r="G31" i="98"/>
  <c r="G30" i="98"/>
  <c r="G29" i="98"/>
  <c r="G28" i="98"/>
  <c r="G27" i="98"/>
  <c r="G26" i="98"/>
  <c r="G25" i="98"/>
  <c r="G24" i="98"/>
  <c r="G23" i="98"/>
  <c r="E17" i="98"/>
  <c r="D17" i="98"/>
  <c r="C17" i="98"/>
  <c r="F16" i="98"/>
  <c r="F15" i="98"/>
  <c r="F14" i="98"/>
  <c r="F13" i="98"/>
  <c r="F12" i="98"/>
  <c r="F11" i="98"/>
  <c r="F10" i="98"/>
  <c r="F9" i="98"/>
  <c r="F8" i="98"/>
  <c r="F7" i="98"/>
  <c r="I364" i="102"/>
  <c r="G364" i="102"/>
  <c r="E364" i="102"/>
  <c r="C364" i="102"/>
  <c r="K363" i="102"/>
  <c r="J363" i="102"/>
  <c r="H363" i="102"/>
  <c r="F363" i="102"/>
  <c r="D363" i="102"/>
  <c r="K362" i="102"/>
  <c r="H362" i="102" s="1"/>
  <c r="K361" i="102"/>
  <c r="J361" i="102"/>
  <c r="H361" i="102"/>
  <c r="F361" i="102"/>
  <c r="D361" i="102"/>
  <c r="K360" i="102"/>
  <c r="J360" i="102" s="1"/>
  <c r="K359" i="102"/>
  <c r="J359" i="102"/>
  <c r="H359" i="102"/>
  <c r="F359" i="102"/>
  <c r="D359" i="102"/>
  <c r="K358" i="102"/>
  <c r="J358" i="102" s="1"/>
  <c r="K357" i="102"/>
  <c r="J357" i="102"/>
  <c r="H357" i="102"/>
  <c r="F357" i="102"/>
  <c r="D357" i="102"/>
  <c r="K356" i="102"/>
  <c r="K355" i="102"/>
  <c r="J355" i="102"/>
  <c r="H355" i="102"/>
  <c r="F355" i="102"/>
  <c r="D355" i="102"/>
  <c r="K354" i="102"/>
  <c r="J354" i="102"/>
  <c r="H354" i="102"/>
  <c r="F354" i="102"/>
  <c r="D354" i="102"/>
  <c r="K353" i="102"/>
  <c r="J353" i="102" s="1"/>
  <c r="K352" i="102"/>
  <c r="H352" i="102" s="1"/>
  <c r="K351" i="102"/>
  <c r="K350" i="102"/>
  <c r="K349" i="102"/>
  <c r="J349" i="102"/>
  <c r="H349" i="102"/>
  <c r="F349" i="102"/>
  <c r="D349" i="102"/>
  <c r="K348" i="102"/>
  <c r="J348" i="102"/>
  <c r="H348" i="102"/>
  <c r="F348" i="102"/>
  <c r="D348" i="102"/>
  <c r="K347" i="102"/>
  <c r="J347" i="102"/>
  <c r="H347" i="102"/>
  <c r="F347" i="102"/>
  <c r="D347" i="102"/>
  <c r="K346" i="102"/>
  <c r="J346" i="102"/>
  <c r="H346" i="102"/>
  <c r="F346" i="102"/>
  <c r="D346" i="102"/>
  <c r="K345" i="102"/>
  <c r="J345" i="102"/>
  <c r="H345" i="102"/>
  <c r="F345" i="102"/>
  <c r="D345" i="102"/>
  <c r="K344" i="102"/>
  <c r="J344" i="102"/>
  <c r="H344" i="102"/>
  <c r="F344" i="102"/>
  <c r="D344" i="102"/>
  <c r="K343" i="102"/>
  <c r="J343" i="102"/>
  <c r="H343" i="102"/>
  <c r="F343" i="102"/>
  <c r="D343" i="102"/>
  <c r="K342" i="102"/>
  <c r="F342" i="102" s="1"/>
  <c r="K341" i="102"/>
  <c r="D341" i="102" s="1"/>
  <c r="K340" i="102"/>
  <c r="J340" i="102"/>
  <c r="H340" i="102"/>
  <c r="F340" i="102"/>
  <c r="D340" i="102"/>
  <c r="K339" i="102"/>
  <c r="J339" i="102" s="1"/>
  <c r="K338" i="102"/>
  <c r="K337" i="102"/>
  <c r="K336" i="102"/>
  <c r="F336" i="102" s="1"/>
  <c r="K335" i="102"/>
  <c r="K334" i="102"/>
  <c r="F334" i="102" s="1"/>
  <c r="K333" i="102"/>
  <c r="J333" i="102"/>
  <c r="H333" i="102"/>
  <c r="F333" i="102"/>
  <c r="D333" i="102"/>
  <c r="K332" i="102"/>
  <c r="K331" i="102"/>
  <c r="K330" i="102"/>
  <c r="F330" i="102" s="1"/>
  <c r="K329" i="102"/>
  <c r="D329" i="102" s="1"/>
  <c r="K328" i="102"/>
  <c r="K327" i="102"/>
  <c r="J327" i="102"/>
  <c r="H327" i="102"/>
  <c r="F327" i="102"/>
  <c r="D327" i="102"/>
  <c r="K326" i="102"/>
  <c r="J326" i="102" s="1"/>
  <c r="K325" i="102"/>
  <c r="F325" i="102" s="1"/>
  <c r="K324" i="102"/>
  <c r="J324" i="102" s="1"/>
  <c r="K323" i="102"/>
  <c r="J323" i="102" s="1"/>
  <c r="I317" i="102"/>
  <c r="G317" i="102"/>
  <c r="E317" i="102"/>
  <c r="C317" i="102"/>
  <c r="K316" i="102"/>
  <c r="J316" i="102" s="1"/>
  <c r="K315" i="102"/>
  <c r="K314" i="102"/>
  <c r="K313" i="102"/>
  <c r="I306" i="102"/>
  <c r="G306" i="102"/>
  <c r="E306" i="102"/>
  <c r="C306" i="102"/>
  <c r="K305" i="102"/>
  <c r="J305" i="102"/>
  <c r="H305" i="102"/>
  <c r="F305" i="102"/>
  <c r="D305" i="102"/>
  <c r="K304" i="102"/>
  <c r="J304" i="102" s="1"/>
  <c r="K303" i="102"/>
  <c r="J303" i="102"/>
  <c r="H303" i="102"/>
  <c r="F303" i="102"/>
  <c r="D303" i="102"/>
  <c r="K302" i="102"/>
  <c r="J302" i="102" s="1"/>
  <c r="K301" i="102"/>
  <c r="K300" i="102"/>
  <c r="J300" i="102" s="1"/>
  <c r="K299" i="102"/>
  <c r="J299" i="102"/>
  <c r="H299" i="102"/>
  <c r="F299" i="102"/>
  <c r="D299" i="102"/>
  <c r="K298" i="102"/>
  <c r="K297" i="102"/>
  <c r="J297" i="102"/>
  <c r="H297" i="102"/>
  <c r="F297" i="102"/>
  <c r="D297" i="102"/>
  <c r="K296" i="102"/>
  <c r="D296" i="102" s="1"/>
  <c r="K295" i="102"/>
  <c r="F295" i="102" s="1"/>
  <c r="K294" i="102"/>
  <c r="J294" i="102" s="1"/>
  <c r="K293" i="102"/>
  <c r="K292" i="102"/>
  <c r="J292" i="102" s="1"/>
  <c r="K291" i="102"/>
  <c r="J291" i="102"/>
  <c r="H291" i="102"/>
  <c r="F291" i="102"/>
  <c r="D291" i="102"/>
  <c r="K290" i="102"/>
  <c r="J290" i="102"/>
  <c r="H290" i="102"/>
  <c r="F290" i="102"/>
  <c r="D290" i="102"/>
  <c r="K289" i="102"/>
  <c r="H289" i="102" s="1"/>
  <c r="K288" i="102"/>
  <c r="J288" i="102" s="1"/>
  <c r="K287" i="102"/>
  <c r="J287" i="102" s="1"/>
  <c r="K286" i="102"/>
  <c r="F286" i="102" s="1"/>
  <c r="K285" i="102"/>
  <c r="J285" i="102" s="1"/>
  <c r="K284" i="102"/>
  <c r="J284" i="102" s="1"/>
  <c r="K283" i="102"/>
  <c r="D283" i="102" s="1"/>
  <c r="K282" i="102"/>
  <c r="J282" i="102"/>
  <c r="H282" i="102"/>
  <c r="F282" i="102"/>
  <c r="D282" i="102"/>
  <c r="K281" i="102"/>
  <c r="H281" i="102" s="1"/>
  <c r="K280" i="102"/>
  <c r="J280" i="102" s="1"/>
  <c r="K279" i="102"/>
  <c r="J279" i="102" s="1"/>
  <c r="K278" i="102"/>
  <c r="F278" i="102" s="1"/>
  <c r="K277" i="102"/>
  <c r="K276" i="102"/>
  <c r="J276" i="102"/>
  <c r="H276" i="102"/>
  <c r="F276" i="102"/>
  <c r="D276" i="102"/>
  <c r="K275" i="102"/>
  <c r="J275" i="102" s="1"/>
  <c r="K274" i="102"/>
  <c r="D274" i="102" s="1"/>
  <c r="K273" i="102"/>
  <c r="J273" i="102" s="1"/>
  <c r="H273" i="102"/>
  <c r="K272" i="102"/>
  <c r="D272" i="102" s="1"/>
  <c r="K271" i="102"/>
  <c r="K270" i="102"/>
  <c r="F270" i="102" s="1"/>
  <c r="K269" i="102"/>
  <c r="J269" i="102"/>
  <c r="H269" i="102"/>
  <c r="F269" i="102"/>
  <c r="D269" i="102"/>
  <c r="K268" i="102"/>
  <c r="F268" i="102" s="1"/>
  <c r="K267" i="102"/>
  <c r="J267" i="102" s="1"/>
  <c r="K266" i="102"/>
  <c r="K265" i="102"/>
  <c r="J265" i="102" s="1"/>
  <c r="I259" i="102"/>
  <c r="G259" i="102"/>
  <c r="E259" i="102"/>
  <c r="C259" i="102"/>
  <c r="K258" i="102"/>
  <c r="K257" i="102"/>
  <c r="J257" i="102"/>
  <c r="H257" i="102"/>
  <c r="F257" i="102"/>
  <c r="D257" i="102"/>
  <c r="K256" i="102"/>
  <c r="J256" i="102" s="1"/>
  <c r="K255" i="102"/>
  <c r="J255" i="102" s="1"/>
  <c r="K254" i="102"/>
  <c r="K253" i="102"/>
  <c r="J253" i="102" s="1"/>
  <c r="K252" i="102"/>
  <c r="J252" i="102" s="1"/>
  <c r="K251" i="102"/>
  <c r="K250" i="102"/>
  <c r="K249" i="102"/>
  <c r="K248" i="102"/>
  <c r="D248" i="102" s="1"/>
  <c r="K247" i="102"/>
  <c r="J247" i="102" s="1"/>
  <c r="K246" i="102"/>
  <c r="D246" i="102" s="1"/>
  <c r="K245" i="102"/>
  <c r="J245" i="102" s="1"/>
  <c r="K244" i="102"/>
  <c r="J244" i="102" s="1"/>
  <c r="K243" i="102"/>
  <c r="J243" i="102" s="1"/>
  <c r="K242" i="102"/>
  <c r="F242" i="102" s="1"/>
  <c r="K241" i="102"/>
  <c r="J241" i="102" s="1"/>
  <c r="I234" i="102"/>
  <c r="G234" i="102"/>
  <c r="E234" i="102"/>
  <c r="C234" i="102"/>
  <c r="K233" i="102"/>
  <c r="K232" i="102"/>
  <c r="J232" i="102" s="1"/>
  <c r="K231" i="102"/>
  <c r="D231" i="102" s="1"/>
  <c r="K230" i="102"/>
  <c r="K229" i="102"/>
  <c r="F229" i="102" s="1"/>
  <c r="K228" i="102"/>
  <c r="H228" i="102" s="1"/>
  <c r="F228" i="102"/>
  <c r="K227" i="102"/>
  <c r="F227" i="102" s="1"/>
  <c r="K226" i="102"/>
  <c r="J226" i="102" s="1"/>
  <c r="K225" i="102"/>
  <c r="K224" i="102"/>
  <c r="J224" i="102" s="1"/>
  <c r="K223" i="102"/>
  <c r="F223" i="102" s="1"/>
  <c r="K222" i="102"/>
  <c r="J222" i="102"/>
  <c r="H222" i="102"/>
  <c r="F222" i="102"/>
  <c r="D222" i="102"/>
  <c r="K221" i="102"/>
  <c r="F221" i="102" s="1"/>
  <c r="D221" i="102"/>
  <c r="K220" i="102"/>
  <c r="J220" i="102" s="1"/>
  <c r="K219" i="102"/>
  <c r="J219" i="102"/>
  <c r="H219" i="102"/>
  <c r="F219" i="102"/>
  <c r="D219" i="102"/>
  <c r="K218" i="102"/>
  <c r="J218" i="102"/>
  <c r="H218" i="102"/>
  <c r="F218" i="102"/>
  <c r="D218" i="102"/>
  <c r="K217" i="102"/>
  <c r="J217" i="102"/>
  <c r="H217" i="102"/>
  <c r="F217" i="102"/>
  <c r="D217" i="102"/>
  <c r="K216" i="102"/>
  <c r="J216" i="102"/>
  <c r="H216" i="102"/>
  <c r="F216" i="102"/>
  <c r="D216" i="102"/>
  <c r="K215" i="102"/>
  <c r="J215" i="102"/>
  <c r="H215" i="102"/>
  <c r="F215" i="102"/>
  <c r="D215" i="102"/>
  <c r="K214" i="102"/>
  <c r="J214" i="102"/>
  <c r="H214" i="102"/>
  <c r="F214" i="102"/>
  <c r="D214" i="102"/>
  <c r="K213" i="102"/>
  <c r="D213" i="102" s="1"/>
  <c r="K212" i="102"/>
  <c r="H212" i="102" s="1"/>
  <c r="K211" i="102"/>
  <c r="J211" i="102" s="1"/>
  <c r="K210" i="102"/>
  <c r="D210" i="102" s="1"/>
  <c r="K209" i="102"/>
  <c r="K208" i="102"/>
  <c r="J208" i="102" s="1"/>
  <c r="K207" i="102"/>
  <c r="J207" i="102" s="1"/>
  <c r="K206" i="102"/>
  <c r="F206" i="102" s="1"/>
  <c r="K205" i="102"/>
  <c r="J205" i="102" s="1"/>
  <c r="K204" i="102"/>
  <c r="H204" i="102" s="1"/>
  <c r="K203" i="102"/>
  <c r="J203" i="102" s="1"/>
  <c r="K202" i="102"/>
  <c r="F202" i="102" s="1"/>
  <c r="K201" i="102"/>
  <c r="H201" i="102"/>
  <c r="K200" i="102"/>
  <c r="J200" i="102" s="1"/>
  <c r="K199" i="102"/>
  <c r="K198" i="102"/>
  <c r="K197" i="102"/>
  <c r="J197" i="102"/>
  <c r="H197" i="102"/>
  <c r="F197" i="102"/>
  <c r="D197" i="102"/>
  <c r="K196" i="102"/>
  <c r="F196" i="102" s="1"/>
  <c r="K195" i="102"/>
  <c r="J195" i="102" s="1"/>
  <c r="K194" i="102"/>
  <c r="K193" i="102"/>
  <c r="D193" i="102" s="1"/>
  <c r="I187" i="102"/>
  <c r="G187" i="102"/>
  <c r="E187" i="102"/>
  <c r="C187" i="102"/>
  <c r="K186" i="102"/>
  <c r="K185" i="102"/>
  <c r="K184" i="102"/>
  <c r="J184" i="102" s="1"/>
  <c r="K183" i="102"/>
  <c r="K182" i="102"/>
  <c r="F182" i="102" s="1"/>
  <c r="K181" i="102"/>
  <c r="J181" i="102" s="1"/>
  <c r="K180" i="102"/>
  <c r="F180" i="102" s="1"/>
  <c r="K179" i="102"/>
  <c r="J179" i="102" s="1"/>
  <c r="K178" i="102"/>
  <c r="K177" i="102"/>
  <c r="J177" i="102" s="1"/>
  <c r="K176" i="102"/>
  <c r="F176" i="102" s="1"/>
  <c r="K175" i="102"/>
  <c r="D175" i="102" s="1"/>
  <c r="K174" i="102"/>
  <c r="F174" i="102" s="1"/>
  <c r="K173" i="102"/>
  <c r="J173" i="102" s="1"/>
  <c r="I166" i="102"/>
  <c r="G166" i="102"/>
  <c r="E166" i="102"/>
  <c r="C166" i="102"/>
  <c r="K165" i="102"/>
  <c r="D165" i="102" s="1"/>
  <c r="K164" i="102"/>
  <c r="J164" i="102" s="1"/>
  <c r="K163" i="102"/>
  <c r="F163" i="102" s="1"/>
  <c r="K162" i="102"/>
  <c r="J162" i="102" s="1"/>
  <c r="K161" i="102"/>
  <c r="D161" i="102" s="1"/>
  <c r="K160" i="102"/>
  <c r="F160" i="102" s="1"/>
  <c r="K159" i="102"/>
  <c r="J159" i="102" s="1"/>
  <c r="K158" i="102"/>
  <c r="K157" i="102"/>
  <c r="J157" i="102" s="1"/>
  <c r="E148" i="102"/>
  <c r="C148" i="102"/>
  <c r="G147" i="102"/>
  <c r="G146" i="102"/>
  <c r="D146" i="102" s="1"/>
  <c r="G145" i="102"/>
  <c r="D145" i="102" s="1"/>
  <c r="G144" i="102"/>
  <c r="G143" i="102"/>
  <c r="G142" i="102"/>
  <c r="D142" i="102" s="1"/>
  <c r="G141" i="102"/>
  <c r="G140" i="102"/>
  <c r="F140" i="102" s="1"/>
  <c r="G139" i="102"/>
  <c r="G138" i="102"/>
  <c r="D138" i="102" s="1"/>
  <c r="G137" i="102"/>
  <c r="D137" i="102" s="1"/>
  <c r="G136" i="102"/>
  <c r="F136" i="102" s="1"/>
  <c r="G135" i="102"/>
  <c r="G134" i="102"/>
  <c r="D134" i="102" s="1"/>
  <c r="G133" i="102"/>
  <c r="F133" i="102"/>
  <c r="D133" i="102"/>
  <c r="G132" i="102"/>
  <c r="F132" i="102"/>
  <c r="D132" i="102"/>
  <c r="G131" i="102"/>
  <c r="G130" i="102"/>
  <c r="D130" i="102" s="1"/>
  <c r="G129" i="102"/>
  <c r="D129" i="102" s="1"/>
  <c r="G128" i="102"/>
  <c r="F128" i="102" s="1"/>
  <c r="G127" i="102"/>
  <c r="G126" i="102"/>
  <c r="D126" i="102" s="1"/>
  <c r="G125" i="102"/>
  <c r="D125" i="102" s="1"/>
  <c r="G124" i="102"/>
  <c r="F124" i="102" s="1"/>
  <c r="G123" i="102"/>
  <c r="G122" i="102"/>
  <c r="D122" i="102" s="1"/>
  <c r="G121" i="102"/>
  <c r="D121" i="102" s="1"/>
  <c r="G120" i="102"/>
  <c r="F120" i="102" s="1"/>
  <c r="G119" i="102"/>
  <c r="D119" i="102" s="1"/>
  <c r="G118" i="102"/>
  <c r="F118" i="102" s="1"/>
  <c r="G117" i="102"/>
  <c r="G116" i="102"/>
  <c r="D116" i="102" s="1"/>
  <c r="G115" i="102"/>
  <c r="D115" i="102" s="1"/>
  <c r="G114" i="102"/>
  <c r="F114" i="102" s="1"/>
  <c r="G113" i="102"/>
  <c r="G112" i="102"/>
  <c r="D112" i="102" s="1"/>
  <c r="G111" i="102"/>
  <c r="F111" i="102"/>
  <c r="D111" i="102"/>
  <c r="G110" i="102"/>
  <c r="F110" i="102" s="1"/>
  <c r="G109" i="102"/>
  <c r="G108" i="102"/>
  <c r="D108" i="102" s="1"/>
  <c r="G107" i="102"/>
  <c r="D107" i="102" s="1"/>
  <c r="G98" i="102"/>
  <c r="E98" i="102"/>
  <c r="C98" i="102"/>
  <c r="I97" i="102"/>
  <c r="D97" i="102" s="1"/>
  <c r="I96" i="102"/>
  <c r="D96" i="102" s="1"/>
  <c r="I95" i="102"/>
  <c r="D95" i="102" s="1"/>
  <c r="I94" i="102"/>
  <c r="D94" i="102" s="1"/>
  <c r="I93" i="102"/>
  <c r="D93" i="102" s="1"/>
  <c r="I92" i="102"/>
  <c r="D92" i="102" s="1"/>
  <c r="I91" i="102"/>
  <c r="D91" i="102" s="1"/>
  <c r="I90" i="102"/>
  <c r="D90" i="102" s="1"/>
  <c r="I89" i="102"/>
  <c r="D89" i="102" s="1"/>
  <c r="I88" i="102"/>
  <c r="D88" i="102" s="1"/>
  <c r="I87" i="102"/>
  <c r="D87" i="102" s="1"/>
  <c r="I86" i="102"/>
  <c r="D86" i="102" s="1"/>
  <c r="I85" i="102"/>
  <c r="D85" i="102" s="1"/>
  <c r="I84" i="102"/>
  <c r="D84" i="102" s="1"/>
  <c r="I83" i="102"/>
  <c r="H83" i="102"/>
  <c r="F83" i="102"/>
  <c r="D83" i="102"/>
  <c r="I82" i="102"/>
  <c r="H82" i="102"/>
  <c r="F82" i="102"/>
  <c r="D82" i="102"/>
  <c r="I81" i="102"/>
  <c r="D81" i="102" s="1"/>
  <c r="I80" i="102"/>
  <c r="I79" i="102"/>
  <c r="I78" i="102"/>
  <c r="D78" i="102" s="1"/>
  <c r="I77" i="102"/>
  <c r="I76" i="102"/>
  <c r="D76" i="102" s="1"/>
  <c r="I75" i="102"/>
  <c r="I74" i="102"/>
  <c r="D74" i="102" s="1"/>
  <c r="I73" i="102"/>
  <c r="I72" i="102"/>
  <c r="D72" i="102" s="1"/>
  <c r="I71" i="102"/>
  <c r="I70" i="102"/>
  <c r="D70" i="102" s="1"/>
  <c r="I69" i="102"/>
  <c r="I68" i="102"/>
  <c r="D68" i="102" s="1"/>
  <c r="I67" i="102"/>
  <c r="I66" i="102"/>
  <c r="D66" i="102" s="1"/>
  <c r="I65" i="102"/>
  <c r="I64" i="102"/>
  <c r="D64" i="102" s="1"/>
  <c r="I63" i="102"/>
  <c r="I62" i="102"/>
  <c r="D62" i="102" s="1"/>
  <c r="I61" i="102"/>
  <c r="H61" i="102"/>
  <c r="F61" i="102"/>
  <c r="D61" i="102"/>
  <c r="I60" i="102"/>
  <c r="I59" i="102"/>
  <c r="D59" i="102" s="1"/>
  <c r="I58" i="102"/>
  <c r="I57" i="102"/>
  <c r="I48" i="102"/>
  <c r="G48" i="102"/>
  <c r="E48" i="102"/>
  <c r="C48" i="102"/>
  <c r="K47" i="102"/>
  <c r="D47" i="102" s="1"/>
  <c r="J47" i="102"/>
  <c r="K46" i="102"/>
  <c r="K45" i="102"/>
  <c r="H45" i="102" s="1"/>
  <c r="K44" i="102"/>
  <c r="J44" i="102" s="1"/>
  <c r="K43" i="102"/>
  <c r="K42" i="102"/>
  <c r="F42" i="102" s="1"/>
  <c r="K41" i="102"/>
  <c r="K40" i="102"/>
  <c r="F40" i="102" s="1"/>
  <c r="K39" i="102"/>
  <c r="F39" i="102" s="1"/>
  <c r="K38" i="102"/>
  <c r="J38" i="102" s="1"/>
  <c r="K37" i="102"/>
  <c r="J37" i="102"/>
  <c r="K36" i="102"/>
  <c r="D36" i="102" s="1"/>
  <c r="K35" i="102"/>
  <c r="J35" i="102" s="1"/>
  <c r="K34" i="102"/>
  <c r="F34" i="102" s="1"/>
  <c r="K33" i="102"/>
  <c r="J33" i="102"/>
  <c r="H33" i="102"/>
  <c r="F33" i="102"/>
  <c r="D33" i="102"/>
  <c r="K32" i="102"/>
  <c r="J32" i="102"/>
  <c r="H32" i="102"/>
  <c r="F32" i="102"/>
  <c r="D32" i="102"/>
  <c r="K31" i="102"/>
  <c r="J31" i="102" s="1"/>
  <c r="K30" i="102"/>
  <c r="F30" i="102" s="1"/>
  <c r="K29" i="102"/>
  <c r="H29" i="102" s="1"/>
  <c r="K28" i="102"/>
  <c r="J28" i="102" s="1"/>
  <c r="K27" i="102"/>
  <c r="H27" i="102" s="1"/>
  <c r="K26" i="102"/>
  <c r="F26" i="102" s="1"/>
  <c r="K25" i="102"/>
  <c r="H25" i="102" s="1"/>
  <c r="K24" i="102"/>
  <c r="J24" i="102" s="1"/>
  <c r="K23" i="102"/>
  <c r="F23" i="102" s="1"/>
  <c r="K22" i="102"/>
  <c r="F22" i="102" s="1"/>
  <c r="K21" i="102"/>
  <c r="H21" i="102" s="1"/>
  <c r="K20" i="102"/>
  <c r="J20" i="102" s="1"/>
  <c r="K19" i="102"/>
  <c r="F19" i="102" s="1"/>
  <c r="K18" i="102"/>
  <c r="F18" i="102" s="1"/>
  <c r="K17" i="102"/>
  <c r="H17" i="102" s="1"/>
  <c r="K16" i="102"/>
  <c r="J16" i="102" s="1"/>
  <c r="K15" i="102"/>
  <c r="J15" i="102" s="1"/>
  <c r="K14" i="102"/>
  <c r="J14" i="102" s="1"/>
  <c r="K13" i="102"/>
  <c r="F13" i="102" s="1"/>
  <c r="K12" i="102"/>
  <c r="H12" i="102" s="1"/>
  <c r="K11" i="102"/>
  <c r="J11" i="102"/>
  <c r="H11" i="102"/>
  <c r="F11" i="102"/>
  <c r="D11" i="102"/>
  <c r="K10" i="102"/>
  <c r="H10" i="102" s="1"/>
  <c r="K9" i="102"/>
  <c r="H9" i="102" s="1"/>
  <c r="K8" i="102"/>
  <c r="F8" i="102" s="1"/>
  <c r="K7" i="102"/>
  <c r="J7" i="102" s="1"/>
  <c r="H471" i="101"/>
  <c r="G471" i="101"/>
  <c r="F471" i="101"/>
  <c r="E471" i="101"/>
  <c r="D471" i="101"/>
  <c r="C471" i="101"/>
  <c r="I470" i="101"/>
  <c r="I469" i="101"/>
  <c r="I468" i="101"/>
  <c r="I467" i="101"/>
  <c r="I466" i="101"/>
  <c r="I465" i="101"/>
  <c r="I464" i="101"/>
  <c r="I463" i="101"/>
  <c r="I462" i="101"/>
  <c r="I461" i="101"/>
  <c r="I460" i="101"/>
  <c r="I459" i="101"/>
  <c r="I458" i="101"/>
  <c r="I457" i="101"/>
  <c r="I456" i="101"/>
  <c r="I455" i="101"/>
  <c r="I454" i="101"/>
  <c r="I453" i="101"/>
  <c r="I452" i="101"/>
  <c r="I451" i="101"/>
  <c r="I450" i="101"/>
  <c r="I449" i="101"/>
  <c r="I448" i="101"/>
  <c r="I447" i="101"/>
  <c r="I446" i="101"/>
  <c r="I445" i="101"/>
  <c r="I444" i="101"/>
  <c r="I443" i="101"/>
  <c r="I442" i="101"/>
  <c r="I441" i="101"/>
  <c r="I440" i="101"/>
  <c r="I439" i="101"/>
  <c r="I438" i="101"/>
  <c r="I437" i="101"/>
  <c r="I436" i="101"/>
  <c r="I435" i="101"/>
  <c r="I434" i="101"/>
  <c r="I433" i="101"/>
  <c r="I432" i="101"/>
  <c r="I431" i="101"/>
  <c r="I471" i="101" s="1"/>
  <c r="I472" i="101" s="1"/>
  <c r="I430" i="101"/>
  <c r="E424" i="101"/>
  <c r="D424" i="101"/>
  <c r="C424" i="101"/>
  <c r="F423" i="101"/>
  <c r="F422" i="101"/>
  <c r="F421" i="101"/>
  <c r="F420" i="101"/>
  <c r="F419" i="101"/>
  <c r="F418" i="101"/>
  <c r="F417" i="101"/>
  <c r="F416" i="101"/>
  <c r="F415" i="101"/>
  <c r="F414" i="101"/>
  <c r="F413" i="101"/>
  <c r="F412" i="101"/>
  <c r="F411" i="101"/>
  <c r="F410" i="101"/>
  <c r="F409" i="101"/>
  <c r="F408" i="101"/>
  <c r="F407" i="101"/>
  <c r="F406" i="101"/>
  <c r="F405" i="101"/>
  <c r="F404" i="101"/>
  <c r="F403" i="101"/>
  <c r="F402" i="101"/>
  <c r="F401" i="101"/>
  <c r="F400" i="101"/>
  <c r="F399" i="101"/>
  <c r="F398" i="101"/>
  <c r="F397" i="101"/>
  <c r="F396" i="101"/>
  <c r="F395" i="101"/>
  <c r="F394" i="101"/>
  <c r="F393" i="101"/>
  <c r="F392" i="101"/>
  <c r="F391" i="101"/>
  <c r="F390" i="101"/>
  <c r="F389" i="101"/>
  <c r="F388" i="101"/>
  <c r="F387" i="101"/>
  <c r="F386" i="101"/>
  <c r="F385" i="101"/>
  <c r="F384" i="101"/>
  <c r="F383" i="101"/>
  <c r="E377" i="101"/>
  <c r="D377" i="101"/>
  <c r="C377" i="101"/>
  <c r="F376" i="101"/>
  <c r="F375" i="101"/>
  <c r="F374" i="101"/>
  <c r="F373" i="101"/>
  <c r="F372" i="101"/>
  <c r="F371" i="101"/>
  <c r="F370" i="101"/>
  <c r="F369" i="101"/>
  <c r="F368" i="101"/>
  <c r="F367" i="101"/>
  <c r="F366" i="101"/>
  <c r="F365" i="101"/>
  <c r="F364" i="101"/>
  <c r="F363" i="101"/>
  <c r="F362" i="101"/>
  <c r="F361" i="101"/>
  <c r="F360" i="101"/>
  <c r="F359" i="101"/>
  <c r="F358" i="101"/>
  <c r="F357" i="101"/>
  <c r="F356" i="101"/>
  <c r="F355" i="101"/>
  <c r="F354" i="101"/>
  <c r="F353" i="101"/>
  <c r="F352" i="101"/>
  <c r="F351" i="101"/>
  <c r="F350" i="101"/>
  <c r="F349" i="101"/>
  <c r="F348" i="101"/>
  <c r="F347" i="101"/>
  <c r="F346" i="101"/>
  <c r="F345" i="101"/>
  <c r="F344" i="101"/>
  <c r="F343" i="101"/>
  <c r="F342" i="101"/>
  <c r="F341" i="101"/>
  <c r="F340" i="101"/>
  <c r="F339" i="101"/>
  <c r="F338" i="101"/>
  <c r="F337" i="101"/>
  <c r="F336" i="101"/>
  <c r="T330" i="101"/>
  <c r="S330" i="101"/>
  <c r="R330" i="101"/>
  <c r="Q330" i="101"/>
  <c r="P330" i="101"/>
  <c r="O330" i="101"/>
  <c r="N330" i="101"/>
  <c r="M330" i="101"/>
  <c r="L330" i="101"/>
  <c r="K330" i="101"/>
  <c r="J330" i="101"/>
  <c r="I330" i="101"/>
  <c r="H330" i="101"/>
  <c r="G330" i="101"/>
  <c r="F330" i="101"/>
  <c r="E330" i="101"/>
  <c r="D330" i="101"/>
  <c r="C330" i="101"/>
  <c r="U329" i="101"/>
  <c r="U328" i="101"/>
  <c r="U327" i="101"/>
  <c r="U326" i="101"/>
  <c r="U325" i="101"/>
  <c r="U324" i="101"/>
  <c r="U323" i="101"/>
  <c r="U322" i="101"/>
  <c r="U321" i="101"/>
  <c r="U320" i="101"/>
  <c r="U319" i="101"/>
  <c r="U318" i="101"/>
  <c r="U317" i="101"/>
  <c r="U316" i="101"/>
  <c r="U315" i="101"/>
  <c r="U314" i="101"/>
  <c r="U313" i="101"/>
  <c r="U312" i="101"/>
  <c r="U311" i="101"/>
  <c r="U310" i="101"/>
  <c r="U309" i="101"/>
  <c r="U308" i="101"/>
  <c r="U307" i="101"/>
  <c r="U306" i="101"/>
  <c r="U305" i="101"/>
  <c r="U304" i="101"/>
  <c r="U303" i="101"/>
  <c r="U302" i="101"/>
  <c r="U301" i="101"/>
  <c r="U300" i="101"/>
  <c r="U299" i="101"/>
  <c r="U298" i="101"/>
  <c r="U297" i="101"/>
  <c r="U296" i="101"/>
  <c r="U295" i="101"/>
  <c r="U294" i="101"/>
  <c r="U293" i="101"/>
  <c r="U292" i="101"/>
  <c r="U291" i="101"/>
  <c r="U290" i="101"/>
  <c r="U289" i="101"/>
  <c r="U330" i="101" s="1"/>
  <c r="F283" i="101"/>
  <c r="E283" i="101"/>
  <c r="D283" i="101"/>
  <c r="C283" i="101"/>
  <c r="G282" i="101"/>
  <c r="G281" i="101"/>
  <c r="G280" i="101"/>
  <c r="G279" i="101"/>
  <c r="G278" i="101"/>
  <c r="G277" i="101"/>
  <c r="G276" i="101"/>
  <c r="G275" i="101"/>
  <c r="G274" i="101"/>
  <c r="G273" i="101"/>
  <c r="G272" i="101"/>
  <c r="G271" i="101"/>
  <c r="G270" i="101"/>
  <c r="G269" i="101"/>
  <c r="G268" i="101"/>
  <c r="G267" i="101"/>
  <c r="G266" i="101"/>
  <c r="G265" i="101"/>
  <c r="G264" i="101"/>
  <c r="G263" i="101"/>
  <c r="G262" i="101"/>
  <c r="G261" i="101"/>
  <c r="G260" i="101"/>
  <c r="G259" i="101"/>
  <c r="G258" i="101"/>
  <c r="G257" i="101"/>
  <c r="G256" i="101"/>
  <c r="G255" i="101"/>
  <c r="G254" i="101"/>
  <c r="G253" i="101"/>
  <c r="G252" i="101"/>
  <c r="G251" i="101"/>
  <c r="G250" i="101"/>
  <c r="G249" i="101"/>
  <c r="G248" i="101"/>
  <c r="G247" i="101"/>
  <c r="G246" i="101"/>
  <c r="G245" i="101"/>
  <c r="G244" i="101"/>
  <c r="G243" i="101"/>
  <c r="G283" i="101" s="1"/>
  <c r="G242" i="101"/>
  <c r="F236" i="101"/>
  <c r="E236" i="101"/>
  <c r="D236" i="101"/>
  <c r="C236" i="101"/>
  <c r="G235" i="101"/>
  <c r="G234" i="101"/>
  <c r="G233" i="101"/>
  <c r="G232" i="101"/>
  <c r="G231" i="101"/>
  <c r="G230" i="101"/>
  <c r="G229" i="101"/>
  <c r="G228" i="101"/>
  <c r="G227" i="101"/>
  <c r="G226" i="101"/>
  <c r="G225" i="101"/>
  <c r="G224" i="101"/>
  <c r="G223" i="101"/>
  <c r="G222" i="101"/>
  <c r="G221" i="101"/>
  <c r="G220" i="101"/>
  <c r="G219" i="101"/>
  <c r="G218" i="101"/>
  <c r="G217" i="101"/>
  <c r="G216" i="101"/>
  <c r="G215" i="101"/>
  <c r="G214" i="101"/>
  <c r="G213" i="101"/>
  <c r="G212" i="101"/>
  <c r="G211" i="101"/>
  <c r="G210" i="101"/>
  <c r="G209" i="101"/>
  <c r="G208" i="101"/>
  <c r="G207" i="101"/>
  <c r="G206" i="101"/>
  <c r="G205" i="101"/>
  <c r="G204" i="101"/>
  <c r="G203" i="101"/>
  <c r="G202" i="101"/>
  <c r="G201" i="101"/>
  <c r="G200" i="101"/>
  <c r="G199" i="101"/>
  <c r="G198" i="101"/>
  <c r="G197" i="101"/>
  <c r="G196" i="101"/>
  <c r="G195" i="101"/>
  <c r="F189" i="101"/>
  <c r="E189" i="101"/>
  <c r="D189" i="101"/>
  <c r="C189" i="101"/>
  <c r="G188" i="101"/>
  <c r="G187" i="101"/>
  <c r="G186" i="101"/>
  <c r="G185" i="101"/>
  <c r="G184" i="101"/>
  <c r="G183" i="101"/>
  <c r="G182" i="101"/>
  <c r="G181" i="101"/>
  <c r="G180" i="101"/>
  <c r="G179" i="101"/>
  <c r="G178" i="101"/>
  <c r="G177" i="101"/>
  <c r="G176" i="101"/>
  <c r="G175" i="101"/>
  <c r="G174" i="101"/>
  <c r="G173" i="101"/>
  <c r="G172" i="101"/>
  <c r="G171" i="101"/>
  <c r="G170" i="101"/>
  <c r="G169" i="101"/>
  <c r="G168" i="101"/>
  <c r="G167" i="101"/>
  <c r="G166" i="101"/>
  <c r="G165" i="101"/>
  <c r="G164" i="101"/>
  <c r="G163" i="101"/>
  <c r="G162" i="101"/>
  <c r="G161" i="101"/>
  <c r="G160" i="101"/>
  <c r="G159" i="101"/>
  <c r="G158" i="101"/>
  <c r="G157" i="101"/>
  <c r="G156" i="101"/>
  <c r="G155" i="101"/>
  <c r="G154" i="101"/>
  <c r="G153" i="101"/>
  <c r="G152" i="101"/>
  <c r="G151" i="101"/>
  <c r="G150" i="101"/>
  <c r="G149" i="101"/>
  <c r="G148" i="101"/>
  <c r="T142" i="101"/>
  <c r="S142" i="101"/>
  <c r="R142" i="101"/>
  <c r="Q142" i="101"/>
  <c r="P142" i="101"/>
  <c r="O142" i="101"/>
  <c r="N142" i="101"/>
  <c r="M142" i="101"/>
  <c r="L142" i="101"/>
  <c r="K142" i="101"/>
  <c r="J142" i="101"/>
  <c r="I142" i="101"/>
  <c r="H142" i="101"/>
  <c r="G142" i="101"/>
  <c r="F142" i="101"/>
  <c r="E142" i="101"/>
  <c r="D142" i="101"/>
  <c r="C142" i="101"/>
  <c r="U141" i="101"/>
  <c r="U140" i="101"/>
  <c r="U139" i="101"/>
  <c r="U138" i="101"/>
  <c r="U137" i="101"/>
  <c r="U136" i="101"/>
  <c r="U135" i="101"/>
  <c r="U134" i="101"/>
  <c r="U133" i="101"/>
  <c r="U132" i="101"/>
  <c r="U131" i="101"/>
  <c r="U130" i="101"/>
  <c r="U129" i="101"/>
  <c r="U128" i="101"/>
  <c r="U127" i="101"/>
  <c r="U126" i="101"/>
  <c r="U125" i="101"/>
  <c r="U124" i="101"/>
  <c r="U123" i="101"/>
  <c r="U122" i="101"/>
  <c r="U121" i="101"/>
  <c r="U120" i="101"/>
  <c r="U119" i="101"/>
  <c r="U118" i="101"/>
  <c r="U117" i="101"/>
  <c r="U116" i="101"/>
  <c r="U115" i="101"/>
  <c r="U114" i="101"/>
  <c r="U113" i="101"/>
  <c r="U112" i="101"/>
  <c r="U111" i="101"/>
  <c r="U110" i="101"/>
  <c r="U109" i="101"/>
  <c r="U108" i="101"/>
  <c r="U107" i="101"/>
  <c r="U106" i="101"/>
  <c r="U105" i="101"/>
  <c r="U104" i="101"/>
  <c r="U103" i="101"/>
  <c r="U102" i="101"/>
  <c r="U101" i="101"/>
  <c r="P95" i="101"/>
  <c r="O95" i="101"/>
  <c r="N95" i="101"/>
  <c r="M95" i="101"/>
  <c r="L95" i="101"/>
  <c r="K95" i="101"/>
  <c r="J95" i="101"/>
  <c r="I95" i="101"/>
  <c r="H95" i="101"/>
  <c r="G95" i="101"/>
  <c r="F95" i="101"/>
  <c r="E95" i="101"/>
  <c r="D95" i="101"/>
  <c r="C95" i="101"/>
  <c r="Q94" i="101"/>
  <c r="Q93" i="101"/>
  <c r="Q92" i="101"/>
  <c r="Q91" i="101"/>
  <c r="Q90" i="101"/>
  <c r="Q89" i="101"/>
  <c r="Q88" i="101"/>
  <c r="Q87" i="101"/>
  <c r="Q86" i="101"/>
  <c r="Q85" i="101"/>
  <c r="Q84" i="101"/>
  <c r="Q83" i="101"/>
  <c r="Q82" i="101"/>
  <c r="Q81" i="101"/>
  <c r="Q80" i="101"/>
  <c r="Q79" i="101"/>
  <c r="Q78" i="101"/>
  <c r="Q77" i="101"/>
  <c r="Q76" i="101"/>
  <c r="Q75" i="101"/>
  <c r="Q74" i="101"/>
  <c r="Q73" i="101"/>
  <c r="Q72" i="101"/>
  <c r="Q71" i="101"/>
  <c r="Q70" i="101"/>
  <c r="Q69" i="101"/>
  <c r="Q68" i="101"/>
  <c r="Q67" i="101"/>
  <c r="Q66" i="101"/>
  <c r="Q65" i="101"/>
  <c r="Q64" i="101"/>
  <c r="Q63" i="101"/>
  <c r="Q62" i="101"/>
  <c r="Q61" i="101"/>
  <c r="Q60" i="101"/>
  <c r="Q59" i="101"/>
  <c r="Q58" i="101"/>
  <c r="Q57" i="101"/>
  <c r="Q56" i="101"/>
  <c r="Q55" i="101"/>
  <c r="Q95" i="101" s="1"/>
  <c r="Q54" i="101"/>
  <c r="K48" i="101"/>
  <c r="J48" i="101"/>
  <c r="I48" i="101"/>
  <c r="H48" i="101"/>
  <c r="G48" i="101"/>
  <c r="F48" i="101"/>
  <c r="E48" i="101"/>
  <c r="D48" i="101"/>
  <c r="C48" i="101"/>
  <c r="L47" i="101"/>
  <c r="L46" i="101"/>
  <c r="L45" i="101"/>
  <c r="L44" i="101"/>
  <c r="L43" i="101"/>
  <c r="L42" i="101"/>
  <c r="L41" i="101"/>
  <c r="L40" i="101"/>
  <c r="L39" i="101"/>
  <c r="L38" i="101"/>
  <c r="L37" i="101"/>
  <c r="L36" i="101"/>
  <c r="L35" i="101"/>
  <c r="L34" i="101"/>
  <c r="L33" i="101"/>
  <c r="L32" i="101"/>
  <c r="L31" i="101"/>
  <c r="L30" i="101"/>
  <c r="L29" i="101"/>
  <c r="L28" i="101"/>
  <c r="L27" i="101"/>
  <c r="L26" i="101"/>
  <c r="L25" i="101"/>
  <c r="L24" i="101"/>
  <c r="L23" i="101"/>
  <c r="L22" i="101"/>
  <c r="L21" i="101"/>
  <c r="L20" i="101"/>
  <c r="L19" i="101"/>
  <c r="L18" i="101"/>
  <c r="L17" i="101"/>
  <c r="L16" i="101"/>
  <c r="L15" i="101"/>
  <c r="L14" i="101"/>
  <c r="L13" i="101"/>
  <c r="L12" i="101"/>
  <c r="L11" i="101"/>
  <c r="L10" i="101"/>
  <c r="L9" i="101"/>
  <c r="L8" i="101"/>
  <c r="L7" i="101"/>
  <c r="C192" i="100"/>
  <c r="D191" i="100" s="1"/>
  <c r="C179" i="100"/>
  <c r="D176" i="100" s="1"/>
  <c r="F168" i="100"/>
  <c r="E168" i="100"/>
  <c r="D168" i="100"/>
  <c r="C168" i="100"/>
  <c r="G167" i="100"/>
  <c r="G166" i="100"/>
  <c r="G165" i="100"/>
  <c r="G164" i="100"/>
  <c r="G163" i="100"/>
  <c r="G162" i="100"/>
  <c r="G161" i="100"/>
  <c r="F156" i="100"/>
  <c r="E156" i="100"/>
  <c r="D156" i="100"/>
  <c r="C156" i="100"/>
  <c r="G155" i="100"/>
  <c r="G154" i="100"/>
  <c r="G153" i="100"/>
  <c r="G152" i="100"/>
  <c r="G151" i="100"/>
  <c r="G150" i="100"/>
  <c r="F145" i="100"/>
  <c r="E145" i="100"/>
  <c r="D145" i="100"/>
  <c r="C145" i="100"/>
  <c r="G144" i="100"/>
  <c r="G143" i="100"/>
  <c r="G142" i="100"/>
  <c r="F136" i="100"/>
  <c r="E136" i="100"/>
  <c r="D136" i="100"/>
  <c r="C136" i="100"/>
  <c r="G135" i="100"/>
  <c r="G134" i="100"/>
  <c r="G133" i="100"/>
  <c r="G132" i="100"/>
  <c r="G131" i="100"/>
  <c r="G130" i="100"/>
  <c r="G129" i="100"/>
  <c r="G128" i="100"/>
  <c r="G127" i="100"/>
  <c r="G126" i="100"/>
  <c r="G125" i="100"/>
  <c r="G124" i="100"/>
  <c r="G123" i="100"/>
  <c r="G122" i="100"/>
  <c r="G121" i="100"/>
  <c r="G120" i="100"/>
  <c r="G119" i="100"/>
  <c r="G118" i="100"/>
  <c r="G117" i="100"/>
  <c r="G116" i="100"/>
  <c r="G115" i="100"/>
  <c r="G114" i="100"/>
  <c r="G113" i="100"/>
  <c r="G112" i="100"/>
  <c r="G111" i="100"/>
  <c r="G110" i="100"/>
  <c r="G109" i="100"/>
  <c r="G108" i="100"/>
  <c r="G107" i="100"/>
  <c r="G106" i="100"/>
  <c r="G105" i="100"/>
  <c r="G104" i="100"/>
  <c r="G103" i="100"/>
  <c r="G102" i="100"/>
  <c r="G101" i="100"/>
  <c r="G100" i="100"/>
  <c r="G99" i="100"/>
  <c r="G98" i="100"/>
  <c r="G97" i="100"/>
  <c r="G96" i="100"/>
  <c r="G95" i="100"/>
  <c r="C86" i="100"/>
  <c r="D86" i="100" s="1"/>
  <c r="C80" i="100"/>
  <c r="D80" i="100" s="1"/>
  <c r="C70" i="100"/>
  <c r="D68" i="100" s="1"/>
  <c r="C61" i="100"/>
  <c r="D58" i="100" s="1"/>
  <c r="C52" i="100"/>
  <c r="D52" i="100" s="1"/>
  <c r="D65" i="100" l="1"/>
  <c r="D192" i="100"/>
  <c r="I150" i="98"/>
  <c r="H151" i="98" s="1"/>
  <c r="U55" i="98"/>
  <c r="K56" i="98" s="1"/>
  <c r="F132" i="98"/>
  <c r="C133" i="98" s="1"/>
  <c r="F17" i="98"/>
  <c r="C18" i="98" s="1"/>
  <c r="G33" i="98"/>
  <c r="C34" i="98" s="1"/>
  <c r="F114" i="98"/>
  <c r="F115" i="98" s="1"/>
  <c r="F141" i="98"/>
  <c r="E142" i="98" s="1"/>
  <c r="S124" i="98"/>
  <c r="D212" i="102"/>
  <c r="D19" i="102"/>
  <c r="F212" i="102"/>
  <c r="F145" i="102"/>
  <c r="D159" i="102"/>
  <c r="J212" i="102"/>
  <c r="H19" i="102"/>
  <c r="F181" i="102"/>
  <c r="D205" i="102"/>
  <c r="F253" i="102"/>
  <c r="F256" i="102"/>
  <c r="D265" i="102"/>
  <c r="D353" i="102"/>
  <c r="D163" i="102"/>
  <c r="F177" i="102"/>
  <c r="D180" i="102"/>
  <c r="H36" i="102"/>
  <c r="F129" i="102"/>
  <c r="H180" i="102"/>
  <c r="J210" i="102"/>
  <c r="D285" i="102"/>
  <c r="D300" i="102"/>
  <c r="F324" i="102"/>
  <c r="D200" i="102"/>
  <c r="H205" i="102"/>
  <c r="D220" i="102"/>
  <c r="D273" i="102"/>
  <c r="D278" i="102"/>
  <c r="D281" i="102"/>
  <c r="D160" i="102"/>
  <c r="D162" i="102"/>
  <c r="H220" i="102"/>
  <c r="F248" i="102"/>
  <c r="F273" i="102"/>
  <c r="F281" i="102"/>
  <c r="H284" i="102"/>
  <c r="D23" i="102"/>
  <c r="D114" i="102"/>
  <c r="F116" i="102"/>
  <c r="F165" i="102"/>
  <c r="D204" i="102"/>
  <c r="F300" i="102"/>
  <c r="H23" i="102"/>
  <c r="D128" i="102"/>
  <c r="F130" i="102"/>
  <c r="D176" i="102"/>
  <c r="D202" i="102"/>
  <c r="F204" i="102"/>
  <c r="J281" i="102"/>
  <c r="H300" i="102"/>
  <c r="D342" i="102"/>
  <c r="F115" i="102"/>
  <c r="H176" i="102"/>
  <c r="J204" i="102"/>
  <c r="F213" i="102"/>
  <c r="D8" i="102"/>
  <c r="D14" i="102"/>
  <c r="F17" i="102"/>
  <c r="H28" i="102"/>
  <c r="J30" i="102"/>
  <c r="H39" i="102"/>
  <c r="H163" i="102"/>
  <c r="D179" i="102"/>
  <c r="F205" i="102"/>
  <c r="F220" i="102"/>
  <c r="H227" i="102"/>
  <c r="J228" i="102"/>
  <c r="D243" i="102"/>
  <c r="F245" i="102"/>
  <c r="F265" i="102"/>
  <c r="D284" i="102"/>
  <c r="D27" i="102"/>
  <c r="D232" i="102"/>
  <c r="H265" i="102"/>
  <c r="D286" i="102"/>
  <c r="D325" i="102"/>
  <c r="H13" i="102"/>
  <c r="H18" i="102"/>
  <c r="J25" i="102"/>
  <c r="J27" i="102"/>
  <c r="J29" i="102"/>
  <c r="D110" i="102"/>
  <c r="D124" i="102"/>
  <c r="F164" i="102"/>
  <c r="J223" i="102"/>
  <c r="D226" i="102"/>
  <c r="D228" i="102"/>
  <c r="J242" i="102"/>
  <c r="F244" i="102"/>
  <c r="H268" i="102"/>
  <c r="J283" i="102"/>
  <c r="D13" i="102"/>
  <c r="D17" i="102"/>
  <c r="J19" i="102"/>
  <c r="J23" i="102"/>
  <c r="F31" i="102"/>
  <c r="D35" i="102"/>
  <c r="J39" i="102"/>
  <c r="F108" i="102"/>
  <c r="F112" i="102"/>
  <c r="F119" i="102"/>
  <c r="F122" i="102"/>
  <c r="D136" i="102"/>
  <c r="J163" i="102"/>
  <c r="H164" i="102"/>
  <c r="J176" i="102"/>
  <c r="H177" i="102"/>
  <c r="J180" i="102"/>
  <c r="H181" i="102"/>
  <c r="D195" i="102"/>
  <c r="H223" i="102"/>
  <c r="F224" i="102"/>
  <c r="J227" i="102"/>
  <c r="H242" i="102"/>
  <c r="F243" i="102"/>
  <c r="D244" i="102"/>
  <c r="H245" i="102"/>
  <c r="D252" i="102"/>
  <c r="D253" i="102"/>
  <c r="D255" i="102"/>
  <c r="H256" i="102"/>
  <c r="D268" i="102"/>
  <c r="D270" i="102"/>
  <c r="F284" i="102"/>
  <c r="F285" i="102"/>
  <c r="H324" i="102"/>
  <c r="F353" i="102"/>
  <c r="D358" i="102"/>
  <c r="D12" i="102"/>
  <c r="H31" i="102"/>
  <c r="F35" i="102"/>
  <c r="D42" i="102"/>
  <c r="D184" i="102"/>
  <c r="D203" i="102"/>
  <c r="D206" i="102"/>
  <c r="D208" i="102"/>
  <c r="H224" i="102"/>
  <c r="H243" i="102"/>
  <c r="F252" i="102"/>
  <c r="D304" i="102"/>
  <c r="D336" i="102"/>
  <c r="H353" i="102"/>
  <c r="F358" i="102"/>
  <c r="D31" i="102"/>
  <c r="D224" i="102"/>
  <c r="J10" i="102"/>
  <c r="F12" i="102"/>
  <c r="D16" i="102"/>
  <c r="J34" i="102"/>
  <c r="H35" i="102"/>
  <c r="D39" i="102"/>
  <c r="H42" i="102"/>
  <c r="D118" i="102"/>
  <c r="F126" i="102"/>
  <c r="F137" i="102"/>
  <c r="D140" i="102"/>
  <c r="D164" i="102"/>
  <c r="D177" i="102"/>
  <c r="D181" i="102"/>
  <c r="D182" i="102"/>
  <c r="D241" i="102"/>
  <c r="F246" i="102"/>
  <c r="H252" i="102"/>
  <c r="D256" i="102"/>
  <c r="D267" i="102"/>
  <c r="D295" i="102"/>
  <c r="D302" i="102"/>
  <c r="F304" i="102"/>
  <c r="D324" i="102"/>
  <c r="D339" i="102"/>
  <c r="H358" i="102"/>
  <c r="J43" i="102"/>
  <c r="H43" i="102"/>
  <c r="H60" i="102"/>
  <c r="F60" i="102"/>
  <c r="H65" i="102"/>
  <c r="F65" i="102"/>
  <c r="H69" i="102"/>
  <c r="F69" i="102"/>
  <c r="H71" i="102"/>
  <c r="F71" i="102"/>
  <c r="H75" i="102"/>
  <c r="F75" i="102"/>
  <c r="H79" i="102"/>
  <c r="F79" i="102"/>
  <c r="J185" i="102"/>
  <c r="F185" i="102"/>
  <c r="D185" i="102"/>
  <c r="J199" i="102"/>
  <c r="D199" i="102"/>
  <c r="J277" i="102"/>
  <c r="H277" i="102"/>
  <c r="H328" i="102"/>
  <c r="J328" i="102"/>
  <c r="F328" i="102"/>
  <c r="J332" i="102"/>
  <c r="H332" i="102"/>
  <c r="J337" i="102"/>
  <c r="H337" i="102"/>
  <c r="F337" i="102"/>
  <c r="D15" i="102"/>
  <c r="J161" i="102"/>
  <c r="H161" i="102"/>
  <c r="F161" i="102"/>
  <c r="J201" i="102"/>
  <c r="F201" i="102"/>
  <c r="D201" i="102"/>
  <c r="J230" i="102"/>
  <c r="D230" i="102"/>
  <c r="H288" i="102"/>
  <c r="F288" i="102"/>
  <c r="J296" i="102"/>
  <c r="H296" i="102"/>
  <c r="F296" i="102"/>
  <c r="D9" i="102"/>
  <c r="J12" i="102"/>
  <c r="J13" i="102"/>
  <c r="H14" i="102"/>
  <c r="F15" i="102"/>
  <c r="F16" i="102"/>
  <c r="F27" i="102"/>
  <c r="D28" i="102"/>
  <c r="D29" i="102"/>
  <c r="D30" i="102"/>
  <c r="J36" i="102"/>
  <c r="F36" i="102"/>
  <c r="H41" i="102"/>
  <c r="F41" i="102"/>
  <c r="D41" i="102"/>
  <c r="D43" i="102"/>
  <c r="H47" i="102"/>
  <c r="F47" i="102"/>
  <c r="H59" i="102"/>
  <c r="F59" i="102"/>
  <c r="H62" i="102"/>
  <c r="F62" i="102"/>
  <c r="H64" i="102"/>
  <c r="F64" i="102"/>
  <c r="H66" i="102"/>
  <c r="F66" i="102"/>
  <c r="H68" i="102"/>
  <c r="F68" i="102"/>
  <c r="H70" i="102"/>
  <c r="F70" i="102"/>
  <c r="H72" i="102"/>
  <c r="F72" i="102"/>
  <c r="H74" i="102"/>
  <c r="F74" i="102"/>
  <c r="H76" i="102"/>
  <c r="F76" i="102"/>
  <c r="H78" i="102"/>
  <c r="F78" i="102"/>
  <c r="F107" i="102"/>
  <c r="F125" i="102"/>
  <c r="F141" i="102"/>
  <c r="D141" i="102"/>
  <c r="H184" i="102"/>
  <c r="F184" i="102"/>
  <c r="H208" i="102"/>
  <c r="F208" i="102"/>
  <c r="H232" i="102"/>
  <c r="F232" i="102"/>
  <c r="J248" i="102"/>
  <c r="H248" i="102"/>
  <c r="F274" i="102"/>
  <c r="D277" i="102"/>
  <c r="F280" i="102"/>
  <c r="H280" i="102"/>
  <c r="D280" i="102"/>
  <c r="F314" i="102"/>
  <c r="J314" i="102"/>
  <c r="D314" i="102"/>
  <c r="J329" i="102"/>
  <c r="H329" i="102"/>
  <c r="F329" i="102"/>
  <c r="D332" i="102"/>
  <c r="J336" i="102"/>
  <c r="H336" i="102"/>
  <c r="J341" i="102"/>
  <c r="H341" i="102"/>
  <c r="F341" i="102"/>
  <c r="H58" i="102"/>
  <c r="D58" i="102"/>
  <c r="H63" i="102"/>
  <c r="F63" i="102"/>
  <c r="H67" i="102"/>
  <c r="F67" i="102"/>
  <c r="H73" i="102"/>
  <c r="F73" i="102"/>
  <c r="H77" i="102"/>
  <c r="F77" i="102"/>
  <c r="J249" i="102"/>
  <c r="H249" i="102"/>
  <c r="F249" i="102"/>
  <c r="F266" i="102"/>
  <c r="D266" i="102"/>
  <c r="H272" i="102"/>
  <c r="F272" i="102"/>
  <c r="F14" i="102"/>
  <c r="H37" i="102"/>
  <c r="F37" i="102"/>
  <c r="J40" i="102"/>
  <c r="D40" i="102"/>
  <c r="F144" i="102"/>
  <c r="D144" i="102"/>
  <c r="H186" i="102"/>
  <c r="J186" i="102"/>
  <c r="D186" i="102"/>
  <c r="J196" i="102"/>
  <c r="H196" i="102"/>
  <c r="J362" i="102"/>
  <c r="F362" i="102"/>
  <c r="D362" i="102"/>
  <c r="F9" i="102"/>
  <c r="H15" i="102"/>
  <c r="D18" i="102"/>
  <c r="H24" i="102"/>
  <c r="J26" i="102"/>
  <c r="F28" i="102"/>
  <c r="F29" i="102"/>
  <c r="H30" i="102"/>
  <c r="D37" i="102"/>
  <c r="F38" i="102"/>
  <c r="H38" i="102"/>
  <c r="D38" i="102"/>
  <c r="F43" i="102"/>
  <c r="J46" i="102"/>
  <c r="D46" i="102"/>
  <c r="D60" i="102"/>
  <c r="D63" i="102"/>
  <c r="D65" i="102"/>
  <c r="D67" i="102"/>
  <c r="D69" i="102"/>
  <c r="D71" i="102"/>
  <c r="D73" i="102"/>
  <c r="D75" i="102"/>
  <c r="D77" i="102"/>
  <c r="D79" i="102"/>
  <c r="F121" i="102"/>
  <c r="J160" i="102"/>
  <c r="H160" i="102"/>
  <c r="J183" i="102"/>
  <c r="D183" i="102"/>
  <c r="H185" i="102"/>
  <c r="J193" i="102"/>
  <c r="H193" i="102"/>
  <c r="F193" i="102"/>
  <c r="D196" i="102"/>
  <c r="H200" i="102"/>
  <c r="F200" i="102"/>
  <c r="F211" i="102"/>
  <c r="H211" i="102"/>
  <c r="D211" i="102"/>
  <c r="D229" i="102"/>
  <c r="F231" i="102"/>
  <c r="J231" i="102"/>
  <c r="H231" i="102"/>
  <c r="F233" i="102"/>
  <c r="D233" i="102"/>
  <c r="D249" i="102"/>
  <c r="J272" i="102"/>
  <c r="F277" i="102"/>
  <c r="D288" i="102"/>
  <c r="J289" i="102"/>
  <c r="F289" i="102"/>
  <c r="D289" i="102"/>
  <c r="J295" i="102"/>
  <c r="H295" i="102"/>
  <c r="D328" i="102"/>
  <c r="F332" i="102"/>
  <c r="D337" i="102"/>
  <c r="H253" i="102"/>
  <c r="J268" i="102"/>
  <c r="H285" i="102"/>
  <c r="D294" i="102"/>
  <c r="H304" i="102"/>
  <c r="D223" i="102"/>
  <c r="D227" i="102"/>
  <c r="D242" i="102"/>
  <c r="D245" i="102"/>
  <c r="F135" i="102"/>
  <c r="D135" i="102"/>
  <c r="F139" i="102"/>
  <c r="D139" i="102"/>
  <c r="F147" i="102"/>
  <c r="D147" i="102"/>
  <c r="J158" i="102"/>
  <c r="H158" i="102"/>
  <c r="J178" i="102"/>
  <c r="H178" i="102"/>
  <c r="J258" i="102"/>
  <c r="H258" i="102"/>
  <c r="F258" i="102"/>
  <c r="D258" i="102"/>
  <c r="J315" i="102"/>
  <c r="H315" i="102"/>
  <c r="H335" i="102"/>
  <c r="F335" i="102"/>
  <c r="J335" i="102"/>
  <c r="D335" i="102"/>
  <c r="D20" i="102"/>
  <c r="D45" i="102"/>
  <c r="H81" i="102"/>
  <c r="F81" i="102"/>
  <c r="H89" i="102"/>
  <c r="F89" i="102"/>
  <c r="J174" i="102"/>
  <c r="H174" i="102"/>
  <c r="H207" i="102"/>
  <c r="F207" i="102"/>
  <c r="D207" i="102"/>
  <c r="J225" i="102"/>
  <c r="H225" i="102"/>
  <c r="F225" i="102"/>
  <c r="D225" i="102"/>
  <c r="H247" i="102"/>
  <c r="F247" i="102"/>
  <c r="D247" i="102"/>
  <c r="H251" i="102"/>
  <c r="F251" i="102"/>
  <c r="J251" i="102"/>
  <c r="D251" i="102"/>
  <c r="H287" i="102"/>
  <c r="F287" i="102"/>
  <c r="D287" i="102"/>
  <c r="J301" i="102"/>
  <c r="H301" i="102"/>
  <c r="F301" i="102"/>
  <c r="D301" i="102"/>
  <c r="H351" i="102"/>
  <c r="F351" i="102"/>
  <c r="J351" i="102"/>
  <c r="D351" i="102"/>
  <c r="F7" i="102"/>
  <c r="J9" i="102"/>
  <c r="H16" i="102"/>
  <c r="J17" i="102"/>
  <c r="J18" i="102"/>
  <c r="F20" i="102"/>
  <c r="F21" i="102"/>
  <c r="H22" i="102"/>
  <c r="D24" i="102"/>
  <c r="D25" i="102"/>
  <c r="D26" i="102"/>
  <c r="D34" i="102"/>
  <c r="H40" i="102"/>
  <c r="J41" i="102"/>
  <c r="J42" i="102"/>
  <c r="F44" i="102"/>
  <c r="F45" i="102"/>
  <c r="K48" i="102"/>
  <c r="C49" i="102" s="1"/>
  <c r="F134" i="102"/>
  <c r="F138" i="102"/>
  <c r="F142" i="102"/>
  <c r="F146" i="102"/>
  <c r="D158" i="102"/>
  <c r="J165" i="102"/>
  <c r="H165" i="102"/>
  <c r="D178" i="102"/>
  <c r="H183" i="102"/>
  <c r="F183" i="102"/>
  <c r="J194" i="102"/>
  <c r="H194" i="102"/>
  <c r="F194" i="102"/>
  <c r="D194" i="102"/>
  <c r="H279" i="102"/>
  <c r="F279" i="102"/>
  <c r="D279" i="102"/>
  <c r="J293" i="102"/>
  <c r="H293" i="102"/>
  <c r="F293" i="102"/>
  <c r="D293" i="102"/>
  <c r="J330" i="102"/>
  <c r="H330" i="102"/>
  <c r="D330" i="102"/>
  <c r="J338" i="102"/>
  <c r="H338" i="102"/>
  <c r="F338" i="102"/>
  <c r="D338" i="102"/>
  <c r="D57" i="102"/>
  <c r="I98" i="102"/>
  <c r="H57" i="102"/>
  <c r="F57" i="102"/>
  <c r="F143" i="102"/>
  <c r="D143" i="102"/>
  <c r="G148" i="102"/>
  <c r="H175" i="102"/>
  <c r="F175" i="102"/>
  <c r="J250" i="102"/>
  <c r="H250" i="102"/>
  <c r="D250" i="102"/>
  <c r="H271" i="102"/>
  <c r="F271" i="102"/>
  <c r="D271" i="102"/>
  <c r="J350" i="102"/>
  <c r="H350" i="102"/>
  <c r="D350" i="102"/>
  <c r="D7" i="102"/>
  <c r="D21" i="102"/>
  <c r="D22" i="102"/>
  <c r="D44" i="102"/>
  <c r="H85" i="102"/>
  <c r="F85" i="102"/>
  <c r="H87" i="102"/>
  <c r="F87" i="102"/>
  <c r="H91" i="102"/>
  <c r="F91" i="102"/>
  <c r="H93" i="102"/>
  <c r="F93" i="102"/>
  <c r="H95" i="102"/>
  <c r="F95" i="102"/>
  <c r="H97" i="102"/>
  <c r="F97" i="102"/>
  <c r="C149" i="102"/>
  <c r="K166" i="102"/>
  <c r="C167" i="102" s="1"/>
  <c r="K187" i="102"/>
  <c r="G188" i="102" s="1"/>
  <c r="H7" i="102"/>
  <c r="J8" i="102"/>
  <c r="H8" i="102"/>
  <c r="H20" i="102"/>
  <c r="J21" i="102"/>
  <c r="J22" i="102"/>
  <c r="F24" i="102"/>
  <c r="F25" i="102"/>
  <c r="H26" i="102"/>
  <c r="H34" i="102"/>
  <c r="H44" i="102"/>
  <c r="J45" i="102"/>
  <c r="H46" i="102"/>
  <c r="F46" i="102"/>
  <c r="H80" i="102"/>
  <c r="D80" i="102"/>
  <c r="H84" i="102"/>
  <c r="F84" i="102"/>
  <c r="H86" i="102"/>
  <c r="F86" i="102"/>
  <c r="H88" i="102"/>
  <c r="F88" i="102"/>
  <c r="H90" i="102"/>
  <c r="F90" i="102"/>
  <c r="H92" i="102"/>
  <c r="F92" i="102"/>
  <c r="H94" i="102"/>
  <c r="F94" i="102"/>
  <c r="H96" i="102"/>
  <c r="F96" i="102"/>
  <c r="F109" i="102"/>
  <c r="D109" i="102"/>
  <c r="F113" i="102"/>
  <c r="D113" i="102"/>
  <c r="F117" i="102"/>
  <c r="D117" i="102"/>
  <c r="F123" i="102"/>
  <c r="D123" i="102"/>
  <c r="F127" i="102"/>
  <c r="D127" i="102"/>
  <c r="F131" i="102"/>
  <c r="D131" i="102"/>
  <c r="F158" i="102"/>
  <c r="H159" i="102"/>
  <c r="F159" i="102"/>
  <c r="D174" i="102"/>
  <c r="J175" i="102"/>
  <c r="F178" i="102"/>
  <c r="H179" i="102"/>
  <c r="F179" i="102"/>
  <c r="J182" i="102"/>
  <c r="H182" i="102"/>
  <c r="J198" i="102"/>
  <c r="H198" i="102"/>
  <c r="F198" i="102"/>
  <c r="D198" i="102"/>
  <c r="F250" i="102"/>
  <c r="J254" i="102"/>
  <c r="H254" i="102"/>
  <c r="F254" i="102"/>
  <c r="D254" i="102"/>
  <c r="J271" i="102"/>
  <c r="H275" i="102"/>
  <c r="F275" i="102"/>
  <c r="D275" i="102"/>
  <c r="H298" i="102"/>
  <c r="F298" i="102"/>
  <c r="J298" i="102"/>
  <c r="D298" i="102"/>
  <c r="K306" i="102"/>
  <c r="G307" i="102" s="1"/>
  <c r="H326" i="102"/>
  <c r="F326" i="102"/>
  <c r="D326" i="102"/>
  <c r="H331" i="102"/>
  <c r="F331" i="102"/>
  <c r="J331" i="102"/>
  <c r="D331" i="102"/>
  <c r="J334" i="102"/>
  <c r="H334" i="102"/>
  <c r="D334" i="102"/>
  <c r="F350" i="102"/>
  <c r="H356" i="102"/>
  <c r="F356" i="102"/>
  <c r="J356" i="102"/>
  <c r="D356" i="102"/>
  <c r="H360" i="102"/>
  <c r="F360" i="102"/>
  <c r="D360" i="102"/>
  <c r="H203" i="102"/>
  <c r="F203" i="102"/>
  <c r="J206" i="102"/>
  <c r="H206" i="102"/>
  <c r="H210" i="102"/>
  <c r="F210" i="102"/>
  <c r="J213" i="102"/>
  <c r="H213" i="102"/>
  <c r="H230" i="102"/>
  <c r="F230" i="102"/>
  <c r="J233" i="102"/>
  <c r="H233" i="102"/>
  <c r="J246" i="102"/>
  <c r="H246" i="102"/>
  <c r="H267" i="102"/>
  <c r="F267" i="102"/>
  <c r="J270" i="102"/>
  <c r="H270" i="102"/>
  <c r="J274" i="102"/>
  <c r="H274" i="102"/>
  <c r="J278" i="102"/>
  <c r="H278" i="102"/>
  <c r="H283" i="102"/>
  <c r="F283" i="102"/>
  <c r="J286" i="102"/>
  <c r="H286" i="102"/>
  <c r="J325" i="102"/>
  <c r="H325" i="102"/>
  <c r="J352" i="102"/>
  <c r="F352" i="102"/>
  <c r="D352" i="102"/>
  <c r="K364" i="102"/>
  <c r="C365" i="102" s="1"/>
  <c r="H195" i="102"/>
  <c r="F195" i="102"/>
  <c r="H199" i="102"/>
  <c r="F199" i="102"/>
  <c r="J202" i="102"/>
  <c r="H202" i="102"/>
  <c r="J209" i="102"/>
  <c r="D209" i="102"/>
  <c r="J221" i="102"/>
  <c r="H221" i="102"/>
  <c r="H226" i="102"/>
  <c r="F226" i="102"/>
  <c r="J229" i="102"/>
  <c r="H229" i="102"/>
  <c r="H241" i="102"/>
  <c r="F241" i="102"/>
  <c r="H255" i="102"/>
  <c r="F255" i="102"/>
  <c r="K259" i="102"/>
  <c r="G260" i="102" s="1"/>
  <c r="J266" i="102"/>
  <c r="H266" i="102"/>
  <c r="H294" i="102"/>
  <c r="F294" i="102"/>
  <c r="H302" i="102"/>
  <c r="F302" i="102"/>
  <c r="H339" i="102"/>
  <c r="F339" i="102"/>
  <c r="J342" i="102"/>
  <c r="H342" i="102"/>
  <c r="D292" i="102"/>
  <c r="K234" i="102"/>
  <c r="K235" i="102" s="1"/>
  <c r="K317" i="102"/>
  <c r="I318" i="102" s="1"/>
  <c r="J313" i="102"/>
  <c r="H314" i="102"/>
  <c r="F315" i="102"/>
  <c r="F316" i="102"/>
  <c r="D313" i="102"/>
  <c r="H313" i="102"/>
  <c r="D315" i="102"/>
  <c r="D316" i="102"/>
  <c r="F313" i="102"/>
  <c r="F424" i="101"/>
  <c r="F425" i="101" s="1"/>
  <c r="U142" i="101"/>
  <c r="D143" i="101" s="1"/>
  <c r="G236" i="101"/>
  <c r="F237" i="101" s="1"/>
  <c r="F377" i="101"/>
  <c r="F378" i="101" s="1"/>
  <c r="L48" i="101"/>
  <c r="I49" i="101" s="1"/>
  <c r="G189" i="101"/>
  <c r="E190" i="101" s="1"/>
  <c r="P96" i="101"/>
  <c r="N96" i="101"/>
  <c r="L96" i="101"/>
  <c r="J96" i="101"/>
  <c r="H96" i="101"/>
  <c r="F96" i="101"/>
  <c r="Q96" i="101"/>
  <c r="G96" i="101"/>
  <c r="O96" i="101"/>
  <c r="F284" i="101"/>
  <c r="D284" i="101"/>
  <c r="G284" i="101"/>
  <c r="C284" i="101"/>
  <c r="J331" i="101"/>
  <c r="C472" i="101"/>
  <c r="D472" i="101"/>
  <c r="E96" i="101"/>
  <c r="I96" i="101"/>
  <c r="M96" i="101"/>
  <c r="E284" i="101"/>
  <c r="D331" i="101"/>
  <c r="H331" i="101"/>
  <c r="L331" i="101"/>
  <c r="P331" i="101"/>
  <c r="T331" i="101"/>
  <c r="E472" i="101"/>
  <c r="C96" i="101"/>
  <c r="K96" i="101"/>
  <c r="U331" i="101"/>
  <c r="Q331" i="101"/>
  <c r="M331" i="101"/>
  <c r="K331" i="101"/>
  <c r="G331" i="101"/>
  <c r="C331" i="101"/>
  <c r="S331" i="101"/>
  <c r="O331" i="101"/>
  <c r="I331" i="101"/>
  <c r="E331" i="101"/>
  <c r="F331" i="101"/>
  <c r="N331" i="101"/>
  <c r="R331" i="101"/>
  <c r="G472" i="101"/>
  <c r="D96" i="101"/>
  <c r="H472" i="101"/>
  <c r="K143" i="101"/>
  <c r="F472" i="101"/>
  <c r="D66" i="100"/>
  <c r="G145" i="100"/>
  <c r="D73" i="100"/>
  <c r="D77" i="100"/>
  <c r="D74" i="100"/>
  <c r="D83" i="100"/>
  <c r="D69" i="100"/>
  <c r="D75" i="100"/>
  <c r="D79" i="100"/>
  <c r="D84" i="100"/>
  <c r="G168" i="100"/>
  <c r="D78" i="100"/>
  <c r="D70" i="100"/>
  <c r="D76" i="100"/>
  <c r="D85" i="100"/>
  <c r="G156" i="100"/>
  <c r="D188" i="100"/>
  <c r="G136" i="100"/>
  <c r="D61" i="100"/>
  <c r="D60" i="100"/>
  <c r="D59" i="100"/>
  <c r="D181" i="100"/>
  <c r="D189" i="100"/>
  <c r="D67" i="100"/>
  <c r="D178" i="100"/>
  <c r="D186" i="100"/>
  <c r="D190" i="100"/>
  <c r="D177" i="100"/>
  <c r="D64" i="100"/>
  <c r="D179" i="100"/>
  <c r="D187" i="100"/>
  <c r="E124" i="98"/>
  <c r="H124" i="98"/>
  <c r="K124" i="98"/>
  <c r="N124" i="98"/>
  <c r="Q124" i="98"/>
  <c r="T124" i="98"/>
  <c r="C124" i="98"/>
  <c r="F124" i="98"/>
  <c r="I124" i="98"/>
  <c r="L124" i="98"/>
  <c r="O124" i="98"/>
  <c r="R124" i="98"/>
  <c r="U124" i="98"/>
  <c r="D124" i="98"/>
  <c r="G124" i="98"/>
  <c r="J124" i="98"/>
  <c r="M124" i="98"/>
  <c r="P124" i="98"/>
  <c r="D323" i="102"/>
  <c r="F323" i="102"/>
  <c r="H323" i="102"/>
  <c r="H316" i="102"/>
  <c r="F292" i="102"/>
  <c r="H292" i="102"/>
  <c r="H244" i="102"/>
  <c r="F209" i="102"/>
  <c r="H209" i="102"/>
  <c r="F186" i="102"/>
  <c r="D173" i="102"/>
  <c r="F173" i="102"/>
  <c r="H173" i="102"/>
  <c r="H162" i="102"/>
  <c r="F162" i="102"/>
  <c r="D157" i="102"/>
  <c r="F157" i="102"/>
  <c r="H157" i="102"/>
  <c r="D120" i="102"/>
  <c r="F80" i="102"/>
  <c r="F58" i="102"/>
  <c r="F10" i="102"/>
  <c r="D10" i="102"/>
  <c r="F34" i="98" l="1"/>
  <c r="N56" i="98"/>
  <c r="M56" i="98"/>
  <c r="T56" i="98"/>
  <c r="I151" i="98"/>
  <c r="E56" i="98"/>
  <c r="L56" i="98"/>
  <c r="O56" i="98"/>
  <c r="E151" i="98"/>
  <c r="E34" i="98"/>
  <c r="H56" i="98"/>
  <c r="U56" i="98"/>
  <c r="G56" i="98"/>
  <c r="Q56" i="98"/>
  <c r="D56" i="98"/>
  <c r="R56" i="98"/>
  <c r="P56" i="98"/>
  <c r="S56" i="98"/>
  <c r="C56" i="98"/>
  <c r="D34" i="98"/>
  <c r="I56" i="98"/>
  <c r="J56" i="98"/>
  <c r="F56" i="98"/>
  <c r="D133" i="98"/>
  <c r="E133" i="98"/>
  <c r="D142" i="98"/>
  <c r="C142" i="98"/>
  <c r="F151" i="98"/>
  <c r="F133" i="98"/>
  <c r="G151" i="98"/>
  <c r="D151" i="98"/>
  <c r="F142" i="98"/>
  <c r="C115" i="98"/>
  <c r="C151" i="98"/>
  <c r="E115" i="98"/>
  <c r="D115" i="98"/>
  <c r="E18" i="98"/>
  <c r="G34" i="98"/>
  <c r="F18" i="98"/>
  <c r="D18" i="98"/>
  <c r="G318" i="102"/>
  <c r="G235" i="102"/>
  <c r="G365" i="102"/>
  <c r="C307" i="102"/>
  <c r="K188" i="102"/>
  <c r="I188" i="102"/>
  <c r="K318" i="102"/>
  <c r="C235" i="102"/>
  <c r="E318" i="102"/>
  <c r="K260" i="102"/>
  <c r="E260" i="102"/>
  <c r="I260" i="102"/>
  <c r="C188" i="102"/>
  <c r="E235" i="102"/>
  <c r="G149" i="102"/>
  <c r="E149" i="102"/>
  <c r="C260" i="102"/>
  <c r="I49" i="102"/>
  <c r="K49" i="102"/>
  <c r="E49" i="102"/>
  <c r="K167" i="102"/>
  <c r="E167" i="102"/>
  <c r="I167" i="102"/>
  <c r="G49" i="102"/>
  <c r="C318" i="102"/>
  <c r="I235" i="102"/>
  <c r="K365" i="102"/>
  <c r="E365" i="102"/>
  <c r="I365" i="102"/>
  <c r="K307" i="102"/>
  <c r="I307" i="102"/>
  <c r="E307" i="102"/>
  <c r="I99" i="102"/>
  <c r="E99" i="102"/>
  <c r="G167" i="102"/>
  <c r="C99" i="102"/>
  <c r="G99" i="102"/>
  <c r="E188" i="102"/>
  <c r="G49" i="101"/>
  <c r="C237" i="101"/>
  <c r="C425" i="101"/>
  <c r="D425" i="101"/>
  <c r="D237" i="101"/>
  <c r="D190" i="101"/>
  <c r="O143" i="101"/>
  <c r="J143" i="101"/>
  <c r="N143" i="101"/>
  <c r="I143" i="101"/>
  <c r="E425" i="101"/>
  <c r="F143" i="101"/>
  <c r="M143" i="101"/>
  <c r="F190" i="101"/>
  <c r="C190" i="101"/>
  <c r="P143" i="101"/>
  <c r="K49" i="101"/>
  <c r="L49" i="101"/>
  <c r="C143" i="101"/>
  <c r="S143" i="101"/>
  <c r="Q143" i="101"/>
  <c r="G190" i="101"/>
  <c r="H143" i="101"/>
  <c r="R143" i="101"/>
  <c r="G143" i="101"/>
  <c r="E143" i="101"/>
  <c r="U143" i="101"/>
  <c r="E49" i="101"/>
  <c r="T143" i="101"/>
  <c r="C378" i="101"/>
  <c r="J49" i="101"/>
  <c r="C49" i="101"/>
  <c r="F49" i="101"/>
  <c r="H49" i="101"/>
  <c r="E378" i="101"/>
  <c r="G237" i="101"/>
  <c r="E237" i="101"/>
  <c r="L143" i="101"/>
  <c r="D378" i="101"/>
  <c r="D49" i="101"/>
</calcChain>
</file>

<file path=xl/sharedStrings.xml><?xml version="1.0" encoding="utf-8"?>
<sst xmlns="http://schemas.openxmlformats.org/spreadsheetml/2006/main" count="1534" uniqueCount="320">
  <si>
    <t>Krebserkrankungen des Menschen</t>
  </si>
  <si>
    <t>Tierart</t>
  </si>
  <si>
    <t>Vögel</t>
  </si>
  <si>
    <t>Fische</t>
  </si>
  <si>
    <t>gering</t>
  </si>
  <si>
    <t>mittel</t>
  </si>
  <si>
    <t>schwer</t>
  </si>
  <si>
    <t>Grundlagenforschung</t>
  </si>
  <si>
    <t>Translationale und angewandte Forschung</t>
  </si>
  <si>
    <t>Erhaltung der Art</t>
  </si>
  <si>
    <t>Erhaltung von Kolonien etablierter genetisch veränderter Tiere, die nicht in anderen Verfahren verwendet werden</t>
  </si>
  <si>
    <t>Forensische Untersuchungen</t>
  </si>
  <si>
    <t>Onkologie</t>
  </si>
  <si>
    <t>Kardiovaskuläres System (Blut- und Lymphgefäße)</t>
  </si>
  <si>
    <t>Nervensystem</t>
  </si>
  <si>
    <t>Atmungssystem</t>
  </si>
  <si>
    <t>Gastrointestinales System, einschließlich Leber</t>
  </si>
  <si>
    <t>Muskuloskelettales System</t>
  </si>
  <si>
    <t>Immunsystem</t>
  </si>
  <si>
    <t>Urogenitales System/Fortpflanzungssystem</t>
  </si>
  <si>
    <t>Endokrines System/Stoffwechsel</t>
  </si>
  <si>
    <t>Multisystemisch</t>
  </si>
  <si>
    <t>Infektionskrankheiten des Menschen</t>
  </si>
  <si>
    <t>Nerven- und Geisteserkrankungen des Menschen</t>
  </si>
  <si>
    <t>Atemwegserkrankungen des Menschen</t>
  </si>
  <si>
    <t>Immunerkrankungen des Menschen</t>
  </si>
  <si>
    <t>Erkrankungen des urogenitalen/des Fortpflanzungssystems des Menschen</t>
  </si>
  <si>
    <t>Erkrankungen des endokrinen Systems/des Stoffwechselsystems des Menschen</t>
  </si>
  <si>
    <t>Andere Humanerkrankungen</t>
  </si>
  <si>
    <t>Tierschutz</t>
  </si>
  <si>
    <t>Krankheitsdiagnose</t>
  </si>
  <si>
    <t>Pflanzenkrankheiten</t>
  </si>
  <si>
    <t>F0</t>
  </si>
  <si>
    <t>F1</t>
  </si>
  <si>
    <t>Verwendung zu regulatorischen Zwecken und Routineproduktion</t>
  </si>
  <si>
    <t>Qualitätskontrolle (einschl. Chargenunbedenklichkeits- und -potenzprüfungen)</t>
  </si>
  <si>
    <t>Routineproduktion, nach Produkttyp</t>
  </si>
  <si>
    <t>Toxizität und andere Unbedenklichkeitsprüfungen, einschl. pharmakokin. Tests</t>
  </si>
  <si>
    <t>Akute Toxizität (einmalige Verabreichung), einschl. Limit-Test</t>
  </si>
  <si>
    <t>Toxizität bei wiederholter Verabreichung</t>
  </si>
  <si>
    <t>Ökotoxizität</t>
  </si>
  <si>
    <t>Mäuse (Mus musculus)</t>
  </si>
  <si>
    <t>Meerschweinchen (Cavia porcellus)</t>
  </si>
  <si>
    <t>Goldhamster (Mesocricetus auratus)</t>
  </si>
  <si>
    <t>Chinesischer Grauhamster (Cricetulus griseus)</t>
  </si>
  <si>
    <t>Mongolische Rennmäuse (Meriones unguiculatus)</t>
  </si>
  <si>
    <t>Kaninchen (Oryctolagus cuniculus)</t>
  </si>
  <si>
    <t>Katzen (Felis catus)</t>
  </si>
  <si>
    <t>Hunde (Canis familiaris)</t>
  </si>
  <si>
    <t>Frettchen (Mustela putorius furo)</t>
  </si>
  <si>
    <t>Pferde, Esel und Kreuzungen (Equidae)</t>
  </si>
  <si>
    <t>Schweine (Sus scrofa domesticus)</t>
  </si>
  <si>
    <t>Ziegen (Capra aegagrus hircus)</t>
  </si>
  <si>
    <t>Schafe (Ovis aries)</t>
  </si>
  <si>
    <t>Rinder (Bos taurus)</t>
  </si>
  <si>
    <t>Halbaffen (Prosimia)</t>
  </si>
  <si>
    <t>Javaneraffen (Macaca fascicularis)</t>
  </si>
  <si>
    <t>Rhesusaffen (Macaca mulatta)</t>
  </si>
  <si>
    <t>Paviane (Papio spp.)</t>
  </si>
  <si>
    <t>Menschenaffen (Hominoidea)</t>
  </si>
  <si>
    <t>Haushühner (Gallus gallus domesticus)</t>
  </si>
  <si>
    <t>Truthühner (Meleagris gallopavo)</t>
  </si>
  <si>
    <t>Reptilien (Reptilia)</t>
  </si>
  <si>
    <t>Zebrafische (Danio rerio)</t>
  </si>
  <si>
    <t>Lachse, Forellen, Saiblinge und Äschen (Salmonidae)</t>
  </si>
  <si>
    <t>Guppys, Schwertträger, Spitzmaulkärpflinge, Spiegelkärpflinge (Poeciliidae)</t>
  </si>
  <si>
    <t>Kopffüßer (Cephalopoda)</t>
  </si>
  <si>
    <t>Schulung zum Erwerb, zur Erhaltung oder zur Verbesserung beruflicher Fähigkeiten</t>
  </si>
  <si>
    <t>Hochschulausbildung</t>
  </si>
  <si>
    <t>Entwicklungsbiologie</t>
  </si>
  <si>
    <t>Tierernährung</t>
  </si>
  <si>
    <t>Kombinierte Endpunkte</t>
  </si>
  <si>
    <t>LD50, LC50</t>
  </si>
  <si>
    <t>Monoklonale Antikörper im Aszites-Verfahren - (neu)</t>
  </si>
  <si>
    <t>Monoklonale und polyklonale Antikörper (ohne Aszites-Verfahren) (neu)</t>
  </si>
  <si>
    <t>keine Wiederherstellung der Lebensfunktion</t>
  </si>
  <si>
    <t>Ratten (Rattus novegicus)</t>
  </si>
  <si>
    <t>Andere Säugetiere (Mammalia)</t>
  </si>
  <si>
    <t>Andere Vögel (Aves)</t>
  </si>
  <si>
    <t>Krallenfrösche (Xenopus laevis und Xenopus tropicalis)</t>
  </si>
  <si>
    <t>Säugetiere</t>
  </si>
  <si>
    <t>Prozent</t>
  </si>
  <si>
    <t>Wirbellose Tiere (Invertebrata)</t>
  </si>
  <si>
    <t>Amphibien</t>
  </si>
  <si>
    <t>Nagetiere (Rodentia)</t>
  </si>
  <si>
    <t>Fleischfresser (Carnivora)</t>
  </si>
  <si>
    <t>Pferde (Equidae)</t>
  </si>
  <si>
    <t>Paarhufer (Artiodactyla)</t>
  </si>
  <si>
    <t>Nichtmenschlische Primaten</t>
  </si>
  <si>
    <t>Andere Säugetiere</t>
  </si>
  <si>
    <t>Neuwelt Affen</t>
  </si>
  <si>
    <t>Altwelt Affen</t>
  </si>
  <si>
    <t>Tiere geboren in/im ...</t>
  </si>
  <si>
    <t>der EU bei einem registrierten Züchter</t>
  </si>
  <si>
    <t>der EU bei einem nicht-registrierten Züchter</t>
  </si>
  <si>
    <t>restlichen Europa</t>
  </si>
  <si>
    <t>der restlichen Welt</t>
  </si>
  <si>
    <t>Nagetiere</t>
  </si>
  <si>
    <t>Fleischfresser (Carnivores)</t>
  </si>
  <si>
    <t>Bei einem in der EU registrierten Züchter geboren</t>
  </si>
  <si>
    <t>Geboren in restlichen Europa</t>
  </si>
  <si>
    <t>Geboren in Asien</t>
  </si>
  <si>
    <t>Geboren in Amerika</t>
  </si>
  <si>
    <t>Geboren in Afrika</t>
  </si>
  <si>
    <t>Geboren in der restlichen Welt</t>
  </si>
  <si>
    <t>Schutz der natürlichen Umwelt im Interesse der Gesundheit oder des Wohlbefindens von Menschen und Tieren</t>
  </si>
  <si>
    <t>Sinnesorgane (Haut, Augen und Ohren)</t>
  </si>
  <si>
    <t>Ethologie/Tierverhalten/Tierbiologie</t>
  </si>
  <si>
    <t>Andere</t>
  </si>
  <si>
    <t>Kardiovaskuläre Erkrankung des Menschen</t>
  </si>
  <si>
    <t>Gastrointestinal Erkrankung des Menschen, einschließlich der Leber</t>
  </si>
  <si>
    <t>Muskuloskelettale Erkrankung des Menschen</t>
  </si>
  <si>
    <t>Tiererkrankungen und -krankheiten</t>
  </si>
  <si>
    <t>Nicht regulatorische Toxikologie und Ökotoxikologie</t>
  </si>
  <si>
    <t>Andere Wirksamkeits- und Toleranzprüfungen</t>
  </si>
  <si>
    <t>Chargenunbedenklichkeitsprüfungen</t>
  </si>
  <si>
    <t>Pyrogenitätsprüfungen</t>
  </si>
  <si>
    <t>Chargenpotenzprüfungen</t>
  </si>
  <si>
    <t>Andere Qualitätskontrollen</t>
  </si>
  <si>
    <t>Produkte auf Blutbasis</t>
  </si>
  <si>
    <t>Hautreizung/-verätzung</t>
  </si>
  <si>
    <t>Sensibilisierung der Haut</t>
  </si>
  <si>
    <t>Augenreizung/-verätzung</t>
  </si>
  <si>
    <t>Kanzerogenität</t>
  </si>
  <si>
    <t>Gentoxizität</t>
  </si>
  <si>
    <t>Reproduktionstoxizität</t>
  </si>
  <si>
    <t>Entwicklungstoxizität</t>
  </si>
  <si>
    <t>Neurotoxizität</t>
  </si>
  <si>
    <t>Kinetik (Pharmakokinetik, Toxikokinetik, Rückstandsabbau)</t>
  </si>
  <si>
    <t>Pharmakodynamik (einschließlich Sicherheitspharmakologie)</t>
  </si>
  <si>
    <t>Fototoxizität</t>
  </si>
  <si>
    <t>Unbedenklichkeitsprüfung von Nahnungs- und Futtermitteln</t>
  </si>
  <si>
    <t>Unbedenklichkeit für Zieltiere</t>
  </si>
  <si>
    <t>Andere Toxizitäts- oder Unbedenklichkeitsprüfungen</t>
  </si>
  <si>
    <t>bis zu 28 Tagen</t>
  </si>
  <si>
    <t>29-90 Tage</t>
  </si>
  <si>
    <t>&gt; 90 Tage</t>
  </si>
  <si>
    <t>Akute Toxizität (Ökotoxizität)</t>
  </si>
  <si>
    <t>Chronische Toxizität (Ökotoxizität)</t>
  </si>
  <si>
    <t>Reproduktionstoxizität (Ökotoxizität)</t>
  </si>
  <si>
    <t>Endokrine Wirkung (Ökotoxizität)</t>
  </si>
  <si>
    <t>Bioakkumulation (Ökotoxizität)</t>
  </si>
  <si>
    <t>Andere Ökotoxizität</t>
  </si>
  <si>
    <t>Genetisch nicht verändert</t>
  </si>
  <si>
    <t>Monoklonale Antikörper nur im Aszites-Verfahren</t>
  </si>
  <si>
    <t>Andere Produkte</t>
  </si>
  <si>
    <t>Monoklonale und polyklonale Antikörper (ausgenommen im Aszites-Verfahren)</t>
  </si>
  <si>
    <t>Hautreizung- verätzung</t>
  </si>
  <si>
    <t>Vorschriften für Humanarzneimittel</t>
  </si>
  <si>
    <t>Vorschriften für Tierarzneimittel und ihre Rückstände</t>
  </si>
  <si>
    <t>Vorschriften für Medizinprodukte</t>
  </si>
  <si>
    <t>Vorschriften für Industriechemikalien</t>
  </si>
  <si>
    <t>Vorschriften für Pflanzenschutzmittel</t>
  </si>
  <si>
    <t>Vorschriften für Biozidprodukte</t>
  </si>
  <si>
    <t>Vorschriften für Lebensmittel, einschließlich Materialien, die mit Lebensmitteln in Berührung kommen</t>
  </si>
  <si>
    <t>Vorschriften für Futtermittel, einschließlich der Vorschriften für die Sicherheit von Zieltieren, Arbeitnehmern und Umwelt</t>
  </si>
  <si>
    <t>Vorschriften für Kosmetikprodukte</t>
  </si>
  <si>
    <t>Andere Vorschriften</t>
  </si>
  <si>
    <t>Vorschriften, die EU-Anforderungen erfüllen</t>
  </si>
  <si>
    <t>Vorschriften, die nur nationale Anforderungen erfüllen</t>
  </si>
  <si>
    <t>Vorschriften, die EU-externe Anforderungen erfüllen</t>
  </si>
  <si>
    <t>Warmblütige Wirbeltiere (Vertebrata)</t>
  </si>
  <si>
    <t>Kaltblütige Wirbeltiere (Vertebrata)</t>
  </si>
  <si>
    <t>Warmblütige Wirbeltiere (Vertebrates)</t>
  </si>
  <si>
    <t>Kaltblütige Wirbeltiere (Vertebrates)</t>
  </si>
  <si>
    <t>Wirbellose Tiere (Invertebraten)</t>
  </si>
  <si>
    <t>Tierart-Gruppe: Level 2</t>
  </si>
  <si>
    <t>Amphibien (Amphibia)</t>
  </si>
  <si>
    <t>NMP Generation</t>
  </si>
  <si>
    <t>NMP Herkunft</t>
  </si>
  <si>
    <t>davon in selbsterhaltenden Kolonien (neu)</t>
  </si>
  <si>
    <t>Genetisch verändert, kein pathologischer Phänotyp aufgetreten</t>
  </si>
  <si>
    <t>Genetisch verändert, pathologischer Phänotyp aufgetreten</t>
  </si>
  <si>
    <t>Verwendungszweck</t>
  </si>
  <si>
    <t>Erstmalige Verwendung</t>
  </si>
  <si>
    <t>Erkrankungen der Sinnesorgane des Menschen (Haut, Augen und Ohren)</t>
  </si>
  <si>
    <t>Tiererkrankungen und - krankheiten</t>
  </si>
  <si>
    <t>Genotoxizität</t>
  </si>
  <si>
    <t>Art der Vorschrift</t>
  </si>
  <si>
    <t>Tabelle 1: Gesamtzahl der erstmalig verwendendeten Tiere nach Tierart</t>
  </si>
  <si>
    <t>Tierzahl gesamt</t>
  </si>
  <si>
    <t>Tierzahl</t>
  </si>
  <si>
    <t>3. Nichtmenschliche Primaten (NMP) nach Herkunft und Generation</t>
  </si>
  <si>
    <t>Tabelle 7: Generation der erstmalig verwendeten, nichtmenschlichen Primaten (NMP)</t>
  </si>
  <si>
    <t>Tabelle 8: Herkunft der erstmalig verwendeten, nichtmenschlichen Primaten (NMP)</t>
  </si>
  <si>
    <t>Tabelle 3: Herkunft der erstmalig verwendeten Tiere</t>
  </si>
  <si>
    <t>Sonstige, zum Tode führende Methoden</t>
  </si>
  <si>
    <t>Methoden ohne Todesfolge</t>
  </si>
  <si>
    <t>Art der Grundlagenforschung</t>
  </si>
  <si>
    <t>Art der translationalen oder angewandten Forschung</t>
  </si>
  <si>
    <t>Art der Regulation oder Routineproduktion</t>
  </si>
  <si>
    <t>Tabelle 4-6: Herkunft der erstmalig verwendeten, verwendeten Tiere nach Artengruppe</t>
  </si>
  <si>
    <t>Prüfmethodendauer</t>
  </si>
  <si>
    <t>Prüfmethodenart</t>
  </si>
  <si>
    <t>Kommentar: Mit der Einführung des Durchführungsbeschlusses 2020/569/EU, ist die Art der rechtlichen Vorschrift</t>
  </si>
  <si>
    <t>für Tierversuche zur Routineproduktion nicht mehr Teil des jährlichen Berichts.</t>
  </si>
  <si>
    <t>Um eine einfache Vergleichbarkeit der Daten zu den Vorjahren zu gewährleisten, wird die Tabellennummerierung beibehalten.</t>
  </si>
  <si>
    <t>Akute and subakute Toxizität (einmalige Verabreichung, einschl. Limit-Test)</t>
  </si>
  <si>
    <t>29 - 90 Tage</t>
  </si>
  <si>
    <t>Andere letale Methoden</t>
  </si>
  <si>
    <t>Nichtletale Methoden</t>
  </si>
  <si>
    <t>10. Verwendungszweck und Herkunft der rechtlichen Zuordnung</t>
  </si>
  <si>
    <t>Herkunft der Vorschrift</t>
  </si>
  <si>
    <t>4. Verwendung von Tieren, aufgeschlüsselt nach Verwendungszweck (inkl. wiederverwendeter Tiere)</t>
  </si>
  <si>
    <t>Zahlen zu den im Jahr 2021 in Deutschland verwendeten Versuchstieren</t>
  </si>
  <si>
    <t>Nach § 7 Abs. 2 TierSchG verwendete Tiere aufgeschlüsselt nach Tierart</t>
  </si>
  <si>
    <t>1. Verwendete Tiere nach Tierart</t>
  </si>
  <si>
    <t>Andere Nager (andere Rodentia)</t>
  </si>
  <si>
    <t>Andere Fleischfresser (andere Carnivora)</t>
  </si>
  <si>
    <t>Marmosetten und Tamarine (z. B. Callithrix jacchus)</t>
  </si>
  <si>
    <t>Grüne Meerkatzen (Chlorocebus spp., i. d. R. pygerthrus oder sabaeus)</t>
  </si>
  <si>
    <t>Totenkopfaffen (z. B. Saimiri sciureus)</t>
  </si>
  <si>
    <t>Andere Arten von Altweltaffen (andere Arten von Cercopithecoidea)</t>
  </si>
  <si>
    <t>Andere Arten von Neuweltaffen (andere Arten von Ceboidea)</t>
  </si>
  <si>
    <t>Andere Säugetiere (andere Mammalia)</t>
  </si>
  <si>
    <t>Andere Amphibien (andere Amphibia)</t>
  </si>
  <si>
    <t>Wolfsbarsch (Arten von Familien wie Serranidae, Moronidae)</t>
  </si>
  <si>
    <t>Andere Fische (andere Pisces)</t>
  </si>
  <si>
    <t>Tierart-Gruppe Level 1</t>
  </si>
  <si>
    <t>Tabelle 2: Erstmalig verwendete Tiere nach Tierartgruppen</t>
  </si>
  <si>
    <t>2. Herkunft der verwendeten Tiere</t>
  </si>
  <si>
    <t>Tabelle 4: Tierart-Gruppe Level 1</t>
  </si>
  <si>
    <t>Tabelle 5: Tierart-Gruppe Level 2</t>
  </si>
  <si>
    <t>Tabelle 6: Säugetiere</t>
  </si>
  <si>
    <t>Gesamt</t>
  </si>
  <si>
    <t>Hochschul-ausbildung</t>
  </si>
  <si>
    <t>Prozentualer Anteil</t>
  </si>
  <si>
    <t>Muskulo-skelettales System</t>
  </si>
  <si>
    <t>Entwicklungs-biologie</t>
  </si>
  <si>
    <t>Ethologie/ Tierverhalten/ Tierbiologie</t>
  </si>
  <si>
    <t>Andere Grundlagen-forschung</t>
  </si>
  <si>
    <t>Pflanzen-krankheiten</t>
  </si>
  <si>
    <t>Krankheits-diagnose</t>
  </si>
  <si>
    <t>Atemwegs-erkrankungen des Menschen</t>
  </si>
  <si>
    <t>Infektions-krankheiten des Menschen</t>
  </si>
  <si>
    <t>Nerven- und Geistes-erkrankungen des Menschen</t>
  </si>
  <si>
    <t>Gastrointestinale Erkrankung des Menschen, einschließlich der Leber</t>
  </si>
  <si>
    <t>Erkrankungen des urogenitalen/des Fortpflanzungs-systems des Menschen</t>
  </si>
  <si>
    <t>Andere Human-erkrankungen</t>
  </si>
  <si>
    <t>Andere Wirksamkeits- und Toleranz-prüfungen</t>
  </si>
  <si>
    <t>Qualitätskontrolle (einschl. Chargenunbe-denklichkeits- und -potenzprüfungen)</t>
  </si>
  <si>
    <t>Toxizität und andere Unbedenklichkeits-prüfungen, einschl. pharmakokinetischer Tests</t>
  </si>
  <si>
    <t>Chargenunbe-denklichkeits-prüfungen</t>
  </si>
  <si>
    <t>Pyrogenitätsäprüfungen</t>
  </si>
  <si>
    <t>Chargenpotenz-prüfungen</t>
  </si>
  <si>
    <t>Entwicklungs-toxizität</t>
  </si>
  <si>
    <t>Kinetik (Pharmako-kinetik, Toxikokinetik, Rückstandsabbau)</t>
  </si>
  <si>
    <t>Kinetik (Pharmako-kinetik, Toxikokinetik, Rückstands-abbau)</t>
  </si>
  <si>
    <t>Pharmakodynamik (einschließlich Sicherheits-pharmakologie)</t>
  </si>
  <si>
    <t>Unbedenklich-keitsprüfung von Nahnungs- und Futtermitteln</t>
  </si>
  <si>
    <t>Unbedenklich-keitsprüfung von Nahrungs- und Futtermitteln</t>
  </si>
  <si>
    <t>Unbedenklich-keit für Zieltiere</t>
  </si>
  <si>
    <t>Andere Toxizitäts- oder Unbedenklich-keitsprüfungen</t>
  </si>
  <si>
    <t>Reproduktions-toxizität (Ökotoxizität)</t>
  </si>
  <si>
    <t>5. Verwendung von Tieren, aufgeschlüsselt nach Tierart und Belastungsgrad (inkl. wiederverwendeter Tiere)</t>
  </si>
  <si>
    <t>Tabelle 9: Verwendung von Tieren, aufgeschlüsselt nach Tierart und Verwendungszweck</t>
  </si>
  <si>
    <t>Tabelle 10: Verwendung in der Grundlagenforschung</t>
  </si>
  <si>
    <t>Table 11: Verwendung in der translationalen und angewandeten Forschung</t>
  </si>
  <si>
    <t>Tabelle 13: Verwendung in der Qualitätskontrolle</t>
  </si>
  <si>
    <t>Tabelle 14: Verwendung in der Routineproduktion</t>
  </si>
  <si>
    <t>Tabelle 15: Verwendung bei toxikologischen Untersuchungen und anderen Sicherheitsprüfungen</t>
  </si>
  <si>
    <t>Tabelle 16: Verwendung bei Toxizitätstestmethoden mit wiederholter Verabreichung</t>
  </si>
  <si>
    <t>Tabelle 17: Verwendung in Prüfmethoden zur akuten und subakuten Toxizität</t>
  </si>
  <si>
    <t>Tabelle 18: Verwendung für Ökotox-Prüfmethoden</t>
  </si>
  <si>
    <t>Tabelle 19: Verwendung von Tieren, aufgeschlüsselt nach Tierart und Belastungsgrad</t>
  </si>
  <si>
    <t>Belastungsgrad</t>
  </si>
  <si>
    <t>Tabelle 20: Verwendung, aufgeschlüsselt nach Tierart und genetischem Status</t>
  </si>
  <si>
    <t>Tabelle 21: Erstmalige Verwendung und Wiederverwendung aufgeschlüsselt nach Tierarten</t>
  </si>
  <si>
    <t>Wieder-verwendung</t>
  </si>
  <si>
    <t>Verwendung gesamt</t>
  </si>
  <si>
    <t>Table 23: Grundlagenforschung: Verwendungszweck und Belastungsgrad</t>
  </si>
  <si>
    <t>6. Verwendung, aufgeschlüsselt nach Tierart und genetischem Status (inkl. wiederverwendeter Tiere)</t>
  </si>
  <si>
    <t>7. Verwendung, aufgeschlüsselt nach Tierart und Wiederverwendung (inkl. wiederverwendeter Tiere)</t>
  </si>
  <si>
    <t>8. Verwendungszweck und Belastungsgrad (inkl. wiederverwendeter Tiere)</t>
  </si>
  <si>
    <t>Tabelle 22: Verwendungszweck und Belastungsgrad</t>
  </si>
  <si>
    <t>Tabelle 24: Grundlagenforschung: Tierart und Belastungsgrad</t>
  </si>
  <si>
    <t>Tabelle 25: Tanslationale und angewandte Forschung: Verwendungszweck und Belastungsgrad</t>
  </si>
  <si>
    <t>Table 26: Tanslationale und angewandte Forschung: Tierart und Belastungsgrad</t>
  </si>
  <si>
    <t>Art der Qualitätskontrolle</t>
  </si>
  <si>
    <t>Nach Produkttyp</t>
  </si>
  <si>
    <t>Tabelle 30: Routineproduktion: Nach Produkttyp und Belastungsgrad</t>
  </si>
  <si>
    <t>Tabelle 29: Qualitätskontrolle: Art der Qualitätskontrolle und Belastungsgrad</t>
  </si>
  <si>
    <t>Tabelle 31: Toxizität und andere Unbedenklichkeitsprüfungen: Prüfmethode und Belastungsgrad</t>
  </si>
  <si>
    <t>Tabelle 32: Toxizitätsprüfung mit wiederholten Dosierungen: Methodendauer und Belastungsgrad</t>
  </si>
  <si>
    <t>Tabelle 33: akute und subakute Toxizität: Püfmethodenart und Belastungsgrad</t>
  </si>
  <si>
    <t>Tabelle 34: Prüfmethoden zur Ökotoxizität: Prüfmethode und Belastungsgrad</t>
  </si>
  <si>
    <t>Prüfmethode</t>
  </si>
  <si>
    <t>Andere lethalen Methoden</t>
  </si>
  <si>
    <t>Nichtlethale Methoden</t>
  </si>
  <si>
    <t>Tabelle 36: Qualitätskontrolle: Art der Qualitätssicherung und Art der Vorschrift</t>
  </si>
  <si>
    <t>Pyrogenitäts-prüfungen</t>
  </si>
  <si>
    <t>Andere Qualitäts-kontrollen</t>
  </si>
  <si>
    <t>Reproduktions-toxizität</t>
  </si>
  <si>
    <t>Neuro-toxizität</t>
  </si>
  <si>
    <t>Pharmako-dynamik (einschließlich Sicherheitspharmakologie)</t>
  </si>
  <si>
    <t>Tabelle 43: Verwendung zu Toxizitäts- und anderen Unbedenklichkeitsprüfungen: Art der Prüfung und Herkunft der rechtlichen Vorschrift</t>
  </si>
  <si>
    <t>Pharmako-dynamik (einschließlich Sicherheits-pharmakologie)</t>
  </si>
  <si>
    <t>Bioakkumu-lation (Ökotoxizität)</t>
  </si>
  <si>
    <t>Tabelle 45: Verwendung zur Prüfung der akuten und subakuten Toxizität: nach Art der Prüfmethode und Herkunft der rechtlichen Vorschrift</t>
  </si>
  <si>
    <t>Table 44: Verwendung für Toxizitätsprüfungen mit wiederholten Dosierungen: Prüfdauer und Herkunft der rechtlichen Vorschrift</t>
  </si>
  <si>
    <t>Tabelle 46: Verwendung zur Prüfung der Ökotoxizität:Art der Prüfung und Herkunft der rechtlichen Vorschrift</t>
  </si>
  <si>
    <t>F2 oder höher</t>
  </si>
  <si>
    <t>Tabelle 12: Verwendung zu regulatorischen Zwecken und in der Routineproduktion</t>
  </si>
  <si>
    <t>Table 27: Regulatorische Zwecke und Routineproduktion: Verwendungszweck und Belastungsgrad</t>
  </si>
  <si>
    <t>Tabelle 28: Regulatorische Zwecke und Routineproduktion: Tierart und Belastungsgrad</t>
  </si>
  <si>
    <t>Tabelle 35: Regulatorische Zwecke (ohne Routineproduktion): Verwendungszweck und Art der Vorschrift</t>
  </si>
  <si>
    <t>Tabelle 37: Verwendung für die Routineproduktion: Art der Routineproduktion und Art der Vorschrift</t>
  </si>
  <si>
    <t>Tabelle 42: Verwendung zu regulatorischen Zwecken (ohne Routineproduktion): Art der Routineproduktion und Herkunft der rechtlichen Vorschrift</t>
  </si>
  <si>
    <t>Gem. § 4 Abs. 3 TierSchG getötete Tiere aufgeschlüsselt nach Tierart</t>
  </si>
  <si>
    <t>11. Getötete Tiere nach Tierart</t>
  </si>
  <si>
    <t>Gem. § 1 Abs. 1 Satz 1 Nr. 1a VersTierMeldV getötete Tiere</t>
  </si>
  <si>
    <t>Tabelle 48: für wissenschaftliche Zwecke gezüchtete Tiere, die nicht einem Tierversuch nach § 7 Abs. 2 TierSchG oder für wissenschaftliche Untersuchungen nach § 4 Abs. 3 TierSchG verwendet  wurden und getötet worden sind, nach Tierart</t>
  </si>
  <si>
    <t>Tabelle 47: Getötete Tiere, um ihre Organe oder Gewebe zu wissenschaftlichen Zwecken zu verwenden, nach Tierart</t>
  </si>
  <si>
    <t>Nichtmenschliche Primaten</t>
  </si>
  <si>
    <t>Frösche (Rana temporaria und Rana pipiens)</t>
  </si>
  <si>
    <t>Tabelle 38:  Verwendung in Prüfmethoden zur Toxizität und anderen Unbedenklichkeitsprüfungen: Art der Prüfmethode und Art der Vorschrift</t>
  </si>
  <si>
    <t>Tabelle 39: Toxizitätsprüfung mit wiederholten Dosierungen: Prüfdauer und Art der Vorschrift</t>
  </si>
  <si>
    <t>Tabelle 40: akute und subakute Toxizität: Püfmethodenart und Art der Vorschrift</t>
  </si>
  <si>
    <t>Tabelle 41: Prüfmethoden zur Ökotoxizität: Prüfmethode und Art der Vorschrift</t>
  </si>
  <si>
    <t>9. Verwendung zu regulatorischen Zwecken (inkl. wiederverwendeter Tiere) und Art der rechtlichen Zuordnung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</si>
</sst>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1" applyNumberFormat="1" applyFont="1"/>
    <xf numFmtId="9" fontId="0" fillId="0" borderId="0" xfId="0" applyNumberFormat="1"/>
    <xf numFmtId="0" fontId="4" fillId="0" borderId="0" xfId="0" applyFont="1"/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" fillId="0" borderId="1" xfId="0" applyFont="1" applyBorder="1"/>
    <xf numFmtId="0" fontId="0" fillId="0" borderId="1" xfId="0" applyBorder="1"/>
    <xf numFmtId="10" fontId="0" fillId="0" borderId="1" xfId="1" applyNumberFormat="1" applyFont="1" applyBorder="1"/>
    <xf numFmtId="0" fontId="2" fillId="2" borderId="1" xfId="0" applyFont="1" applyFill="1" applyBorder="1"/>
    <xf numFmtId="0" fontId="0" fillId="2" borderId="1" xfId="0" applyFill="1" applyBorder="1"/>
    <xf numFmtId="0" fontId="2" fillId="2" borderId="1" xfId="0" applyFont="1" applyFill="1" applyBorder="1" applyAlignment="1">
      <alignment horizontal="right"/>
    </xf>
    <xf numFmtId="10" fontId="2" fillId="0" borderId="1" xfId="1" applyNumberFormat="1" applyFont="1" applyBorder="1"/>
    <xf numFmtId="0" fontId="2" fillId="0" borderId="0" xfId="0" applyFont="1" applyBorder="1"/>
    <xf numFmtId="10" fontId="2" fillId="0" borderId="0" xfId="1" applyNumberFormat="1" applyFont="1" applyBorder="1"/>
    <xf numFmtId="0" fontId="2" fillId="2" borderId="1" xfId="0" applyFont="1" applyFill="1" applyBorder="1" applyAlignment="1">
      <alignment wrapText="1"/>
    </xf>
    <xf numFmtId="0" fontId="0" fillId="0" borderId="0" xfId="0" applyBorder="1"/>
    <xf numFmtId="10" fontId="0" fillId="0" borderId="0" xfId="0" applyNumberFormat="1" applyBorder="1"/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right" vertical="top" wrapText="1"/>
    </xf>
    <xf numFmtId="164" fontId="0" fillId="0" borderId="1" xfId="1" applyNumberFormat="1" applyFont="1" applyBorder="1"/>
    <xf numFmtId="164" fontId="2" fillId="0" borderId="1" xfId="1" applyNumberFormat="1" applyFont="1" applyBorder="1"/>
    <xf numFmtId="0" fontId="0" fillId="3" borderId="1" xfId="0" applyFill="1" applyBorder="1"/>
    <xf numFmtId="0" fontId="2" fillId="3" borderId="1" xfId="0" applyFont="1" applyFill="1" applyBorder="1"/>
    <xf numFmtId="164" fontId="2" fillId="3" borderId="1" xfId="1" applyNumberFormat="1" applyFont="1" applyFill="1" applyBorder="1"/>
    <xf numFmtId="0" fontId="2" fillId="0" borderId="7" xfId="0" applyFont="1" applyBorder="1"/>
    <xf numFmtId="0" fontId="0" fillId="0" borderId="8" xfId="0" applyBorder="1"/>
    <xf numFmtId="0" fontId="2" fillId="3" borderId="7" xfId="0" applyFont="1" applyFill="1" applyBorder="1"/>
    <xf numFmtId="0" fontId="0" fillId="3" borderId="8" xfId="0" applyFill="1" applyBorder="1"/>
    <xf numFmtId="10" fontId="2" fillId="0" borderId="7" xfId="1" applyNumberFormat="1" applyFont="1" applyBorder="1"/>
    <xf numFmtId="10" fontId="0" fillId="0" borderId="8" xfId="1" applyNumberFormat="1" applyFont="1" applyBorder="1"/>
    <xf numFmtId="0" fontId="0" fillId="0" borderId="8" xfId="0" applyFont="1" applyBorder="1"/>
    <xf numFmtId="10" fontId="1" fillId="0" borderId="8" xfId="1" applyNumberFormat="1" applyFont="1" applyBorder="1"/>
    <xf numFmtId="0" fontId="2" fillId="0" borderId="0" xfId="0" applyFont="1" applyBorder="1" applyAlignment="1">
      <alignment horizontal="right" vertical="top" wrapText="1"/>
    </xf>
    <xf numFmtId="164" fontId="0" fillId="0" borderId="0" xfId="1" applyNumberFormat="1" applyFont="1" applyBorder="1"/>
    <xf numFmtId="0" fontId="2" fillId="0" borderId="0" xfId="0" applyFont="1" applyBorder="1" applyAlignment="1">
      <alignment vertical="top" wrapText="1"/>
    </xf>
    <xf numFmtId="0" fontId="2" fillId="0" borderId="1" xfId="0" applyFont="1" applyFill="1" applyBorder="1"/>
    <xf numFmtId="164" fontId="0" fillId="0" borderId="8" xfId="1" applyNumberFormat="1" applyFont="1" applyBorder="1"/>
    <xf numFmtId="0" fontId="2" fillId="0" borderId="0" xfId="0" applyFont="1" applyFill="1" applyBorder="1"/>
    <xf numFmtId="164" fontId="2" fillId="0" borderId="0" xfId="1" applyNumberFormat="1" applyFont="1" applyBorder="1"/>
    <xf numFmtId="0" fontId="0" fillId="0" borderId="10" xfId="0" applyBorder="1"/>
    <xf numFmtId="0" fontId="5" fillId="0" borderId="2" xfId="0" applyFont="1" applyBorder="1"/>
    <xf numFmtId="0" fontId="5" fillId="0" borderId="3" xfId="0" applyFont="1" applyBorder="1"/>
    <xf numFmtId="0" fontId="6" fillId="0" borderId="11" xfId="0" applyFont="1" applyBorder="1"/>
    <xf numFmtId="0" fontId="6" fillId="0" borderId="12" xfId="0" applyFont="1" applyBorder="1"/>
    <xf numFmtId="0" fontId="2" fillId="2" borderId="4" xfId="0" applyFont="1" applyFill="1" applyBorder="1"/>
    <xf numFmtId="0" fontId="0" fillId="2" borderId="6" xfId="0" applyFill="1" applyBorder="1"/>
    <xf numFmtId="0" fontId="0" fillId="0" borderId="9" xfId="0" applyBorder="1"/>
    <xf numFmtId="0" fontId="4" fillId="4" borderId="0" xfId="0" applyFont="1" applyFill="1"/>
    <xf numFmtId="0" fontId="0" fillId="4" borderId="0" xfId="0" applyFill="1"/>
    <xf numFmtId="0" fontId="0" fillId="2" borderId="4" xfId="0" applyFill="1" applyBorder="1" applyAlignment="1"/>
    <xf numFmtId="0" fontId="0" fillId="2" borderId="5" xfId="0" applyFill="1" applyBorder="1" applyAlignment="1"/>
    <xf numFmtId="0" fontId="0" fillId="2" borderId="6" xfId="0" applyFill="1" applyBorder="1" applyAlignment="1"/>
    <xf numFmtId="0" fontId="4" fillId="0" borderId="0" xfId="0" applyFont="1" applyFill="1"/>
    <xf numFmtId="0" fontId="0" fillId="0" borderId="0" xfId="0" applyFill="1"/>
    <xf numFmtId="0" fontId="7" fillId="0" borderId="0" xfId="0" applyFont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23974</xdr:colOff>
      <xdr:row>87</xdr:row>
      <xdr:rowOff>129540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377774" cy="160858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11191</xdr:colOff>
      <xdr:row>1</xdr:row>
      <xdr:rowOff>0</xdr:rowOff>
    </xdr:from>
    <xdr:to>
      <xdr:col>0</xdr:col>
      <xdr:colOff>2493409</xdr:colOff>
      <xdr:row>8</xdr:row>
      <xdr:rowOff>72131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" y="190500"/>
          <a:ext cx="2482218" cy="14723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5455</xdr:rowOff>
    </xdr:from>
    <xdr:to>
      <xdr:col>0</xdr:col>
      <xdr:colOff>2514354</xdr:colOff>
      <xdr:row>12</xdr:row>
      <xdr:rowOff>167380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96130"/>
          <a:ext cx="2514354" cy="923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11191</xdr:colOff>
      <xdr:row>1</xdr:row>
      <xdr:rowOff>0</xdr:rowOff>
    </xdr:from>
    <xdr:to>
      <xdr:col>0</xdr:col>
      <xdr:colOff>2493409</xdr:colOff>
      <xdr:row>5</xdr:row>
      <xdr:rowOff>700781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" y="190500"/>
          <a:ext cx="2482218" cy="14723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634105</xdr:rowOff>
    </xdr:from>
    <xdr:to>
      <xdr:col>0</xdr:col>
      <xdr:colOff>2514354</xdr:colOff>
      <xdr:row>5</xdr:row>
      <xdr:rowOff>1558030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96130"/>
          <a:ext cx="2514354" cy="923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11191</xdr:colOff>
      <xdr:row>1</xdr:row>
      <xdr:rowOff>0</xdr:rowOff>
    </xdr:from>
    <xdr:to>
      <xdr:col>0</xdr:col>
      <xdr:colOff>2493409</xdr:colOff>
      <xdr:row>5</xdr:row>
      <xdr:rowOff>700781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" y="190500"/>
          <a:ext cx="2482218" cy="14723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634105</xdr:rowOff>
    </xdr:from>
    <xdr:to>
      <xdr:col>0</xdr:col>
      <xdr:colOff>2514354</xdr:colOff>
      <xdr:row>8</xdr:row>
      <xdr:rowOff>34030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96130"/>
          <a:ext cx="2514354" cy="923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11191</xdr:colOff>
      <xdr:row>1</xdr:row>
      <xdr:rowOff>0</xdr:rowOff>
    </xdr:from>
    <xdr:to>
      <xdr:col>0</xdr:col>
      <xdr:colOff>2493409</xdr:colOff>
      <xdr:row>5</xdr:row>
      <xdr:rowOff>700781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" y="190500"/>
          <a:ext cx="2482218" cy="14723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634105</xdr:rowOff>
    </xdr:from>
    <xdr:to>
      <xdr:col>0</xdr:col>
      <xdr:colOff>2514354</xdr:colOff>
      <xdr:row>6</xdr:row>
      <xdr:rowOff>167380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96130"/>
          <a:ext cx="2514354" cy="923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11191</xdr:colOff>
      <xdr:row>0</xdr:row>
      <xdr:rowOff>179914</xdr:rowOff>
    </xdr:from>
    <xdr:to>
      <xdr:col>0</xdr:col>
      <xdr:colOff>2493409</xdr:colOff>
      <xdr:row>7</xdr:row>
      <xdr:rowOff>89274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" y="560914"/>
          <a:ext cx="2482218" cy="14651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61544</xdr:rowOff>
    </xdr:from>
    <xdr:to>
      <xdr:col>0</xdr:col>
      <xdr:colOff>2514354</xdr:colOff>
      <xdr:row>13</xdr:row>
      <xdr:rowOff>32968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98294"/>
          <a:ext cx="2514354" cy="9239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f3R/Desktop/Versuchstierstatistik/221031_Tabelle1_master_anonymisier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blishment details"/>
      <sheetName val="List"/>
      <sheetName val="Translations"/>
      <sheetName val="Validation"/>
      <sheetName val="Pivot"/>
    </sheetNames>
    <sheetDataSet>
      <sheetData sheetId="0"/>
      <sheetData sheetId="1"/>
      <sheetData sheetId="2">
        <row r="2">
          <cell r="B2" t="str">
            <v>[PB1] (Grundlagenforschung) Onkologie</v>
          </cell>
          <cell r="M2" t="str">
            <v>[A1] Mäuse (Mus musculus)</v>
          </cell>
          <cell r="W2" t="str">
            <v>[LO1] Vorschriften, die EU-Anforderungen erfüllen</v>
          </cell>
          <cell r="AD2" t="str">
            <v>[LT1] Vorschriften für Humanarzneimittel</v>
          </cell>
          <cell r="AL2" t="str">
            <v>[SV1] Keine Wiederherstellung der Lebensfunktion</v>
          </cell>
          <cell r="AP2" t="str">
            <v>[N] Nein</v>
          </cell>
          <cell r="AR2" t="str">
            <v>[O1] in der Union in einem zugelassenen Zuchtbetrieb geborene Tiere</v>
          </cell>
          <cell r="AY2" t="str">
            <v>[NHPO1] In einem zugelassenen Zuchtbetrieb in der Union geborene NHP</v>
          </cell>
          <cell r="BF2" t="str">
            <v>[NHPG1] F0</v>
          </cell>
          <cell r="BJ2" t="str">
            <v>[GS1] Genetisch nicht verändert</v>
          </cell>
          <cell r="CF2" t="str">
            <v>[IG1] Invasive Genotypisierung: Blutprobe</v>
          </cell>
        </row>
        <row r="3">
          <cell r="B3" t="str">
            <v>[PB2] (Grundlagenforschung) Kardiovaskuläres System (Blut- und Lymphgefäße)</v>
          </cell>
          <cell r="M3" t="str">
            <v>[A2] Ratten (Rattus norvegicus)</v>
          </cell>
          <cell r="W3" t="str">
            <v>[LO2] Vorschriften, die nur nationale Anforderungen erfüllen</v>
          </cell>
          <cell r="AD3" t="str">
            <v>[LT2] Vorschriften für Tierarzneimittel und ihre Rückstände</v>
          </cell>
          <cell r="AL3" t="str">
            <v>[SV2] Gering (bis zu gering)</v>
          </cell>
          <cell r="AP3" t="str">
            <v>[Y] Ja</v>
          </cell>
          <cell r="AR3" t="str">
            <v>[O2] in der Union, jedoch nicht in einem zugelassenen Zuchtbetrieb geborene Tiere</v>
          </cell>
          <cell r="AY3" t="str">
            <v>[NHPO2] In Europa, jedoch nicht in einem zugelassenen Zuchtbetrieb geborene NHP</v>
          </cell>
          <cell r="BF3" t="str">
            <v>[NHPG2] F1</v>
          </cell>
          <cell r="BJ3" t="str">
            <v>[GS2] Genetisch verändert und kein pathologischer Phänotyp aufgetreten</v>
          </cell>
          <cell r="CF3" t="str">
            <v>[IG2] Invasive Genotypisierung: Biopsie vom Ohr (nicht in Verbindung mit Markierung)</v>
          </cell>
        </row>
        <row r="4">
          <cell r="B4" t="str">
            <v>[PB3] (Grundlagenforschung) Nervensystem</v>
          </cell>
          <cell r="M4" t="str">
            <v>[A3] Meerschweinchen (Cavia porcellus)</v>
          </cell>
          <cell r="W4" t="str">
            <v>[LO3] Vorschriften, die EU-externe Anforderungen erfüllen</v>
          </cell>
          <cell r="AD4" t="str">
            <v>[LT3] Vorschriften für Medizinprodukte</v>
          </cell>
          <cell r="AL4" t="str">
            <v>[SV3] Mittel</v>
          </cell>
          <cell r="AR4" t="str">
            <v>[O3] im restlichen Europa geborene Tiere</v>
          </cell>
          <cell r="AY4" t="str">
            <v>[NHPO3] in Asien geborene NHP</v>
          </cell>
          <cell r="BF4" t="str">
            <v>[NHPG3] F2 oder höher</v>
          </cell>
          <cell r="BJ4" t="str">
            <v>[GS3] Genetisch verändert und pathologischer Phänotyp ist aufgetreten</v>
          </cell>
          <cell r="CF4" t="str">
            <v>[IG3] Invasive Genotypisierung: Schwanzspitzenbiopsie</v>
          </cell>
        </row>
        <row r="5">
          <cell r="B5" t="str">
            <v>[PB4] (Grundlagenforschung) Atmungssystem</v>
          </cell>
          <cell r="M5" t="str">
            <v>[A4] Goldhamster (Mesocricetus auratus)</v>
          </cell>
          <cell r="AD5" t="str">
            <v>[LT4] Vorschriften für Industriechemikalien</v>
          </cell>
          <cell r="AL5" t="str">
            <v>[SV4] Schwer</v>
          </cell>
          <cell r="AR5" t="str">
            <v>[O4] in anderen Teilen der Welt geborene Tiere</v>
          </cell>
          <cell r="AY5" t="str">
            <v>[NHPO4] in Amerika geborene NHP</v>
          </cell>
          <cell r="CF5" t="str">
            <v>[IG6] Invasive Genotypisierung: Flossenbiopsie</v>
          </cell>
        </row>
        <row r="6">
          <cell r="B6" t="str">
            <v>[PB5] (Grundlagenforschung) Gastrointestinales System, einschließlich Leber</v>
          </cell>
          <cell r="M6" t="str">
            <v>[A5] Chinesischer Grauhamster (Cricetulus griseus)</v>
          </cell>
          <cell r="AD6" t="str">
            <v>[LT5] Vorschriften für Pflanzenschutzmittel</v>
          </cell>
          <cell r="AY6" t="str">
            <v>[NHPO5] in Afrika geborene NHP</v>
          </cell>
          <cell r="CF6" t="str">
            <v>[IG4] Invasive Genotypisierung: Toe clipping (nicht in Verbindung mit Markierung)</v>
          </cell>
        </row>
        <row r="7">
          <cell r="B7" t="str">
            <v>[PB6] (Grundlagenforschung) Muskuloskelettales System</v>
          </cell>
          <cell r="M7" t="str">
            <v>[A6] Mongolische Rennmäuse (Meriones unguiculatus)</v>
          </cell>
          <cell r="AD7" t="str">
            <v>[LT6] Vorschriften für Biozidprodukte</v>
          </cell>
          <cell r="AY7" t="str">
            <v>[NHPO6] in anderen Teilen der Welt geborene NHP</v>
          </cell>
          <cell r="CF7" t="str">
            <v>[IG5] Invasive Genotypisierung: Andere</v>
          </cell>
        </row>
        <row r="8">
          <cell r="B8" t="str">
            <v>[PB7] (Grundlagenforschung) Immunsystem</v>
          </cell>
          <cell r="M8" t="str">
            <v>[A7] Andere Nager (Andere Rodentia)</v>
          </cell>
          <cell r="AD8" t="str">
            <v>[LT7] Vorschriften für Lebensmittel, einschließlich Materialien, die mit Lebensmitteln in Berührung kommen</v>
          </cell>
          <cell r="CF8" t="str">
            <v>[ST1] Überschussgewebe von der Markierung eines Tieres mittels Ohrlochung</v>
          </cell>
        </row>
        <row r="9">
          <cell r="B9" t="str">
            <v>[PB8] (Grundlagenforschung) Urogenitales System/Fortpflanzungssystem</v>
          </cell>
          <cell r="M9" t="str">
            <v>[A8] Kaninchen (Oryctolagus cuniculus)</v>
          </cell>
          <cell r="AD9" t="str">
            <v>[LT8] Vorschriften für Futtermittel, einschließlich der Vorschriften für die Sicherheit von Zieltieren, Arbeitnehmern und Umwelt</v>
          </cell>
          <cell r="CF9" t="str">
            <v>[ST2] Überschussgewebe von der Markierung eines Tieres mittels Toe Clipping</v>
          </cell>
        </row>
        <row r="10">
          <cell r="B10" t="str">
            <v>[PB9] (Grundlagenforschung) Sinnesorgane (Haut, Augen und Ohren)</v>
          </cell>
          <cell r="M10" t="str">
            <v>[A9] Katzen (Felis catus)</v>
          </cell>
          <cell r="AD10" t="str">
            <v>[LT9] Vorschriften für Kosmetikprodukte</v>
          </cell>
          <cell r="CF10" t="str">
            <v>[NG1] Nicht-Invasive Genotypisierung: Haarprobe</v>
          </cell>
        </row>
        <row r="11">
          <cell r="B11" t="str">
            <v>[PB10] (Grundlagenforschung) Endokrines System/Stoffwechsel</v>
          </cell>
          <cell r="M11" t="str">
            <v>[A10] Hunde (Canis familiaris)</v>
          </cell>
          <cell r="AD11" t="str">
            <v>[LT10] Andere Vorschriften</v>
          </cell>
          <cell r="CF11" t="str">
            <v>[NG2] Nicht-Invasive Genotypisierung: Beobachtung unter besonderem Licht</v>
          </cell>
        </row>
        <row r="12">
          <cell r="B12" t="str">
            <v>[PB14] (Grundlagenforschung) Entwicklungsbiologie</v>
          </cell>
          <cell r="M12" t="str">
            <v>[A11] Frettchen (Mustela putorius furo)</v>
          </cell>
          <cell r="CF12" t="str">
            <v>[NG3] Nicht-Invasive Genotypisierung: post mortem</v>
          </cell>
        </row>
        <row r="13">
          <cell r="B13" t="str">
            <v>[PB11] (Grundlagenforschung) Multisystemisch</v>
          </cell>
          <cell r="M13" t="str">
            <v>[A12] Andere Fleischfresser (Andere Carnivora)</v>
          </cell>
          <cell r="CF13" t="str">
            <v>[NG4] Nicht-Invasive Genotypisierung: Andere</v>
          </cell>
        </row>
        <row r="14">
          <cell r="B14" t="str">
            <v>[PB12] (Grundlagenforschung) Ethologie/Tierverhalten/Tierbiologie</v>
          </cell>
          <cell r="M14" t="str">
            <v>[A13] Pferde, Esel und Kreuzungen (Equidae)</v>
          </cell>
        </row>
        <row r="15">
          <cell r="B15" t="str">
            <v>[PB13] (Grundlagenforschung) Andere</v>
          </cell>
          <cell r="M15" t="str">
            <v>[A14] Schweine (Sus scrofa domesticus)</v>
          </cell>
        </row>
        <row r="16">
          <cell r="B16" t="str">
            <v>[PT21] (Transl./angewandte Forschung) Krebserkrankungen des Menschen</v>
          </cell>
          <cell r="M16" t="str">
            <v>[A15] Ziegen (Capra aegagrus hircus)</v>
          </cell>
        </row>
        <row r="17">
          <cell r="B17" t="str">
            <v>[PT22] (Transl./angewandte Forschung) Infektionskrankheiten des Menschen</v>
          </cell>
          <cell r="M17" t="str">
            <v>[A16] Schafe (Ovis aries)</v>
          </cell>
        </row>
        <row r="18">
          <cell r="B18" t="str">
            <v>[PT23] (Transl./angewandte Forschung) Kardiovaskuläre Erkrankung des Menschen</v>
          </cell>
          <cell r="M18" t="str">
            <v>[A17] Rinder (Bos taurus)</v>
          </cell>
        </row>
        <row r="19">
          <cell r="B19" t="str">
            <v>[PT24] (Transl./angewandte Forschung) Nerven- und Geisteserkrankungen des Menschen</v>
          </cell>
          <cell r="M19" t="str">
            <v>[A18] Halbaffen (Prosimia)</v>
          </cell>
        </row>
        <row r="20">
          <cell r="B20" t="str">
            <v>[PT25] (Transl./angewandte Forschung) Atemwegserkrankungen des Menschen</v>
          </cell>
          <cell r="M20" t="str">
            <v>[A19] Marmosetten und Tamarine (eg. Callithrix jacchus)</v>
          </cell>
        </row>
        <row r="21">
          <cell r="B21" t="str">
            <v>[PT26] (Transl./angewandte Forschung) Gastrointestinale Erkrankung des Menschen, einschließlich der Leber</v>
          </cell>
          <cell r="M21" t="str">
            <v>[A20] Javaneraffen (Macaca fascicularis)</v>
          </cell>
        </row>
        <row r="22">
          <cell r="B22" t="str">
            <v>[PT27] (Transl./angewandte Forschung) Muskuloskelettale Erkrankung des Menschen</v>
          </cell>
          <cell r="M22" t="str">
            <v>[A21] Rhesusaffen (Macaca mulatta)</v>
          </cell>
        </row>
        <row r="23">
          <cell r="B23" t="str">
            <v>[PT28] (Transl./angewandte Forschung) Immunerkrankungen des Menschen</v>
          </cell>
          <cell r="M23" t="str">
            <v>[A22] Grüne Meerkatzen (Chloderocebus spp.) (in der Regel auch pygerythrus oder sabaeus)</v>
          </cell>
        </row>
        <row r="24">
          <cell r="B24" t="str">
            <v>[PT29] (Transl./angewandte Forschung) Erkrankungen des urogenitalen/des Fortpflanzungssystems des Menschen</v>
          </cell>
          <cell r="M24" t="str">
            <v>[A23] Paviane (Papio spp.)</v>
          </cell>
        </row>
        <row r="25">
          <cell r="B25" t="str">
            <v>[PT30] (Transl./angewandte Forschung) Erkrankungen der Sinnesorgane des Menschen (Haut, Augen und Ohren)</v>
          </cell>
          <cell r="M25" t="str">
            <v>[A24] Totenkopfaffen (eg. Saimiri sciureus)</v>
          </cell>
        </row>
        <row r="26">
          <cell r="B26" t="str">
            <v>[PT31] (Transl./angewandte Forschung) Erkrankungen des endokrinen Systems/des Stoffwechselsystems des Menschen</v>
          </cell>
          <cell r="M26" t="str">
            <v>[A25-1] Andere Arten von Neuweltaffen (Andere Arten von Cercopithecoidea)</v>
          </cell>
        </row>
        <row r="27">
          <cell r="B27" t="str">
            <v>[PT32] (Transl./angewandte Forschung) Andere Humanerkrankungen</v>
          </cell>
          <cell r="M27" t="str">
            <v>[A25-2] Andere Arten von Altweltaffen (Andere Arten von Ceboidea)</v>
          </cell>
        </row>
        <row r="28">
          <cell r="B28" t="str">
            <v>[PT33] (Transl./angewandte Forschung) Tiererkrankungen und - krankheiten</v>
          </cell>
          <cell r="M28" t="str">
            <v>[A26] Menschenaffen (Hominoidea)</v>
          </cell>
        </row>
        <row r="29">
          <cell r="B29" t="str">
            <v>[PT38] (Transl./angewandte Forschung) Tierernährung</v>
          </cell>
          <cell r="M29" t="str">
            <v>[A27] Andere Säugetiere (Andere Mammalia)</v>
          </cell>
        </row>
        <row r="30">
          <cell r="B30" t="str">
            <v>[PT34] (Transl./angewandte Forschung) Tierschutz</v>
          </cell>
          <cell r="M30" t="str">
            <v>[A28] Haushühner (Gallus gallus domesticus)</v>
          </cell>
        </row>
        <row r="31">
          <cell r="B31" t="str">
            <v>[PT35] (Transl./angewandte Forschung) Krankheitsdiagnose</v>
          </cell>
          <cell r="M31" t="str">
            <v>[A37] Truthühner (Meleagris gallopavo)</v>
          </cell>
        </row>
        <row r="32">
          <cell r="B32" t="str">
            <v>[PT36] (Transl./angewandte Forschung) Pflanzenkrankheiten</v>
          </cell>
          <cell r="M32" t="str">
            <v>[A29] Andere Vögel (Andere Aves)</v>
          </cell>
        </row>
        <row r="33">
          <cell r="B33" t="str">
            <v>[PT37] (Transl./angewandte Forschung) Nicht regulatorische Toxikologie und Ökotoxikologie</v>
          </cell>
          <cell r="M33" t="str">
            <v>[A30] Reptilien (Reptilia)</v>
          </cell>
        </row>
        <row r="34">
          <cell r="B34" t="str">
            <v>[PE40] Schutz der natürlichen Umwelt im Interesse der Gesundheit oder des Wohlbefindens von Menschen und Tieren</v>
          </cell>
          <cell r="M34" t="str">
            <v>[A31] Frösche (Rana temporaria and Rana pipiens)</v>
          </cell>
        </row>
        <row r="35">
          <cell r="B35" t="str">
            <v>[PS41] Erhaltung der Art</v>
          </cell>
          <cell r="M35" t="str">
            <v>[A32] Krallenfrösche Xenopus laevis und Xenopus tropicalis)</v>
          </cell>
        </row>
        <row r="36">
          <cell r="B36" t="str">
            <v>[PE42-1] Hochschulausbildung</v>
          </cell>
          <cell r="M36" t="str">
            <v>[A33] Andere Amphibien (Andere Amphibia)</v>
          </cell>
        </row>
        <row r="37">
          <cell r="B37" t="str">
            <v>[PE42-2] Schulung zum Erwerb, zur Erhaltung oder zur Verbesserung beruflicher Fähigkeiten</v>
          </cell>
          <cell r="M37" t="str">
            <v>[A34] Zebrafische (Danio rerio)</v>
          </cell>
        </row>
        <row r="38">
          <cell r="B38" t="str">
            <v>[PF43] Forensische Untersuchungen</v>
          </cell>
          <cell r="M38" t="str">
            <v>[A38] Wolfsbarsche (spp., z.B. Serranidae, Moronidae)</v>
          </cell>
        </row>
        <row r="39">
          <cell r="B39" t="str">
            <v>[PG43] Erhaltung von Kolonien etablierter genetisch veränderter Tiere, die nicht in anderen Verfahren verwendet werden</v>
          </cell>
          <cell r="M39" t="str">
            <v>[A39] Lachse, Forellen, Saiblinge und Äschen (Salmonidae)</v>
          </cell>
        </row>
        <row r="40">
          <cell r="B40" t="str">
            <v>[PR51] (Routineproduktion) Produkte auf Blutbasis</v>
          </cell>
          <cell r="M40" t="str">
            <v>[A40] Guppys, Schwertträger, Spitzmaulkärpflinge, Spiegelkärpflinge (Poeciliidae)</v>
          </cell>
        </row>
        <row r="41">
          <cell r="B41" t="str">
            <v>[PR52] (Routineproduktion) Monoklonale Antikörper nur im Aszites-Verfahren</v>
          </cell>
          <cell r="M41" t="str">
            <v>[A35] Andere Fische (Andere Pisces)</v>
          </cell>
        </row>
        <row r="42">
          <cell r="B42" t="str">
            <v>[PR54] (Routineproduktion) Monoklonale und polyklonale Antikörper (ausgenommen im Aszites-Verfahren)</v>
          </cell>
          <cell r="M42" t="str">
            <v>[A36] Kopffüßer (Cephalopoda)</v>
          </cell>
        </row>
        <row r="43">
          <cell r="B43" t="str">
            <v>[PR53] (Routineproduktion) Andere Produkte</v>
          </cell>
        </row>
        <row r="44">
          <cell r="B44" t="str">
            <v>[PR61] (Regulatorische Zwecke/ Qualitätskontrolle) Chargenunbedenklichkeitsprüfungen</v>
          </cell>
        </row>
        <row r="45">
          <cell r="B45" t="str">
            <v>[PR62] (Regulatorische Zwecke/ Qualitätskontrolle) Pyrogenitätsprüfungen</v>
          </cell>
        </row>
        <row r="46">
          <cell r="B46" t="str">
            <v>[PR63] (Regulatorische Zwecke/ Qualitätskontrolle) Chargenpotenzprüfungen</v>
          </cell>
        </row>
        <row r="47">
          <cell r="B47" t="str">
            <v>[PR64] (Regulatorische Zwecke/ Qualitätskontrolle) Andere Qualitätskontrollen</v>
          </cell>
        </row>
        <row r="48">
          <cell r="B48" t="str">
            <v>[PR71] (Regulatorische Zwecke) Andere Wirksamkeits- und Toleranzprüfungen</v>
          </cell>
        </row>
        <row r="49">
          <cell r="B49" t="str">
            <v>[PR81] (Regulatorische Zwecke/Toxizität und Andere../Akute Toxizität) LD50, LC50</v>
          </cell>
        </row>
        <row r="50">
          <cell r="B50" t="str">
            <v>[PR82] (Regulatorische Zwecke/Toxizität und Andere../Akute Toxizität) Andere letale Methoden</v>
          </cell>
        </row>
        <row r="51">
          <cell r="B51" t="str">
            <v>[PR83] (Regulatorische Zwecke/Toxizität und Andere../Akute Toxizität) Nichtletale Methoden</v>
          </cell>
        </row>
        <row r="52">
          <cell r="B52" t="str">
            <v>[PR84] (Regulatorische Zwecke/Toxizität und Andere..) Hautreizung/-verätzung</v>
          </cell>
        </row>
        <row r="53">
          <cell r="B53" t="str">
            <v>[PR85] (Regulatorische Zwecke/Toxizität und Andere..) Sensibilisierung der Haut</v>
          </cell>
        </row>
        <row r="54">
          <cell r="B54" t="str">
            <v>[PR86] (Regulatorische Zwecke/Toxizität und Andere..) Augenreizung/-verätzung</v>
          </cell>
        </row>
        <row r="55">
          <cell r="B55" t="str">
            <v>[PR87] (Regulatorische Zwecke/Toxizität und Andere../Toxizität bei wiederholter Verabreichung) Bis zu 28 Tage</v>
          </cell>
        </row>
        <row r="56">
          <cell r="B56" t="str">
            <v>[PR88] (Regulatorische Zwecke/Toxizität und Andere../Toxizität bei wiederholter Verabreichung) 29 - 90 Tage</v>
          </cell>
        </row>
        <row r="57">
          <cell r="B57" t="str">
            <v>[PR89] (Regulatorische Zwecke/Toxizität und Andere../Toxizität bei wiederholter Verabreichung) mehr als 90 Tage</v>
          </cell>
        </row>
        <row r="58">
          <cell r="B58" t="str">
            <v>[PR90] (Regulatorische Zwecke/Toxizität und Andere..) Kanzerogenität</v>
          </cell>
        </row>
        <row r="59">
          <cell r="B59" t="str">
            <v>[PR91] (Regulatorische Zwecke/Toxizität und Andere..) Genotoxizität</v>
          </cell>
        </row>
        <row r="60">
          <cell r="B60" t="str">
            <v>[PR92] (Regulatorische Zwecke/Toxizität und Andere..) Reproduktionstoxizität</v>
          </cell>
        </row>
        <row r="61">
          <cell r="B61" t="str">
            <v>[PR93] (Regulatorische Zwecke/Toxizität und Andere..) Entwicklungstoxizität</v>
          </cell>
        </row>
        <row r="62">
          <cell r="B62" t="str">
            <v>[PR94] (Regulatorische Zwecke/Toxizität und Andere..) Neurotoxizität</v>
          </cell>
        </row>
        <row r="63">
          <cell r="B63" t="str">
            <v>[PR95] (Regulatorische Zwecke/Toxizität und Andere..) Kinetik (Pharmakokinetik, Toxikokinetik, Rückstandsabbau)</v>
          </cell>
        </row>
        <row r="64">
          <cell r="B64" t="str">
            <v>[PR96] (Regulatorische Zwecke/Toxizität und Andere..) Pharmakodynamik (einschließlich Sicherheitspharmakologie)</v>
          </cell>
        </row>
        <row r="65">
          <cell r="B65" t="str">
            <v>[PR97] (Regulatorische Zwecke/Toxizität und Andere..) Fototoxizität</v>
          </cell>
        </row>
        <row r="66">
          <cell r="B66" t="str">
            <v>[PR98] (Regulatorische Zwecke/Toxizität und Andere../Ökotoxizität) Akute Toxizität (Ökotoxizität)</v>
          </cell>
        </row>
        <row r="67">
          <cell r="B67" t="str">
            <v>[PR99] (Regulatorische Zwecke/Toxizität und Andere../Ökotoxizität) Chronische Toxizität (Ökotoxizität)</v>
          </cell>
        </row>
        <row r="68">
          <cell r="B68" t="str">
            <v>[PR100] (Regulatorische Zwecke/Toxizität und Andere../Ökotoxizität) Reproduktionstoxizität (Ökotoxizität)</v>
          </cell>
        </row>
        <row r="69">
          <cell r="B69" t="str">
            <v>[PR101] (Regulatorische Zwecke/Toxizität und Andere../Ökotoxizität) Endokrine Wirkung (Ökotoxizität)</v>
          </cell>
        </row>
        <row r="70">
          <cell r="B70" t="str">
            <v>[PR102] (Regulatorische Zwecke/Toxizität und Andere../Ökotoxizität) Bioakkumulation (Ökotoxizität)</v>
          </cell>
        </row>
        <row r="71">
          <cell r="B71" t="str">
            <v>[PR103] (Regulatorische Zwecke/Toxizität und Andere../Ökotoxizität) Andere Ökotoxizität</v>
          </cell>
        </row>
        <row r="72">
          <cell r="B72" t="str">
            <v>[PR104] (Regulatorische Zwecke/Toxizität und Andere..) Unbedenklichkeitsprüfung von Nahrungs- und Futtermitteln</v>
          </cell>
        </row>
        <row r="73">
          <cell r="B73" t="str">
            <v>[PR105] (Regulatorische Zwecke/Toxizität und Andere..) Unbedenklichkeit für Zieltiere</v>
          </cell>
        </row>
        <row r="74">
          <cell r="B74" t="str">
            <v>[PR107] (Regulatorische Zwecke/Toxizität und Andere..) Kombinierte Endpunkte</v>
          </cell>
        </row>
        <row r="75">
          <cell r="B75" t="str">
            <v>[PR106] (Regulatorische Zwecke/Toxizität und Andere..) Andere Toxizitäts- oder Unbedenklichkeitsprüfungen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K97"/>
  <sheetViews>
    <sheetView tabSelected="1" workbookViewId="0">
      <selection activeCell="A90" sqref="A90"/>
    </sheetView>
  </sheetViews>
  <sheetFormatPr baseColWidth="10" defaultRowHeight="14.4" x14ac:dyDescent="0.3"/>
  <cols>
    <col min="1" max="1" width="26.88671875" customWidth="1"/>
  </cols>
  <sheetData>
    <row r="1" spans="1:11" ht="18" x14ac:dyDescent="0.35">
      <c r="A1" s="2"/>
    </row>
    <row r="2" spans="1:11" x14ac:dyDescent="0.3">
      <c r="A2" s="57"/>
    </row>
    <row r="3" spans="1:11" x14ac:dyDescent="0.3">
      <c r="A3" s="1"/>
    </row>
    <row r="4" spans="1:11" s="1" customFormat="1" x14ac:dyDescent="0.3"/>
    <row r="5" spans="1:11" x14ac:dyDescent="0.3">
      <c r="B5" s="1"/>
      <c r="C5" s="3"/>
      <c r="E5" s="3"/>
      <c r="G5" s="3"/>
      <c r="I5" s="3"/>
      <c r="K5" s="3"/>
    </row>
    <row r="6" spans="1:11" x14ac:dyDescent="0.3">
      <c r="B6" s="1"/>
      <c r="C6" s="3"/>
      <c r="E6" s="3"/>
      <c r="G6" s="3"/>
      <c r="I6" s="3"/>
      <c r="K6" s="3"/>
    </row>
    <row r="7" spans="1:11" x14ac:dyDescent="0.3">
      <c r="B7" s="1"/>
      <c r="C7" s="3"/>
      <c r="E7" s="3"/>
      <c r="G7" s="3"/>
      <c r="I7" s="3"/>
      <c r="K7" s="3"/>
    </row>
    <row r="8" spans="1:11" x14ac:dyDescent="0.3">
      <c r="B8" s="1"/>
      <c r="C8" s="3"/>
      <c r="E8" s="3"/>
      <c r="G8" s="3"/>
      <c r="I8" s="3"/>
      <c r="K8" s="3"/>
    </row>
    <row r="9" spans="1:11" x14ac:dyDescent="0.3">
      <c r="B9" s="1"/>
      <c r="C9" s="3"/>
      <c r="E9" s="3"/>
      <c r="G9" s="3"/>
      <c r="I9" s="3"/>
      <c r="K9" s="57"/>
    </row>
    <row r="10" spans="1:11" x14ac:dyDescent="0.3">
      <c r="B10" s="1"/>
      <c r="C10" s="3"/>
      <c r="E10" s="3"/>
      <c r="G10" s="3"/>
      <c r="I10" s="3"/>
      <c r="K10" s="3"/>
    </row>
    <row r="11" spans="1:11" x14ac:dyDescent="0.3">
      <c r="B11" s="1"/>
    </row>
    <row r="12" spans="1:11" x14ac:dyDescent="0.3">
      <c r="B12" s="1"/>
      <c r="C12" s="3"/>
      <c r="E12" s="3"/>
      <c r="G12" s="3"/>
      <c r="I12" s="3"/>
      <c r="K12" s="3"/>
    </row>
    <row r="13" spans="1:11" x14ac:dyDescent="0.3">
      <c r="B13" s="1"/>
      <c r="C13" s="3"/>
      <c r="E13" s="3"/>
      <c r="G13" s="3"/>
      <c r="I13" s="3"/>
      <c r="K13" s="3"/>
    </row>
    <row r="14" spans="1:11" x14ac:dyDescent="0.3">
      <c r="B14" s="1"/>
      <c r="C14" s="3"/>
      <c r="E14" s="3"/>
      <c r="G14" s="3"/>
      <c r="I14" s="3"/>
      <c r="K14" s="3"/>
    </row>
    <row r="15" spans="1:11" x14ac:dyDescent="0.3">
      <c r="B15" s="1"/>
    </row>
    <row r="16" spans="1:11" x14ac:dyDescent="0.3">
      <c r="B16" s="1"/>
    </row>
    <row r="17" spans="1:9" x14ac:dyDescent="0.3">
      <c r="B17" s="1"/>
    </row>
    <row r="18" spans="1:9" x14ac:dyDescent="0.3">
      <c r="A18" s="1"/>
      <c r="B18" s="1"/>
    </row>
    <row r="19" spans="1:9" x14ac:dyDescent="0.3">
      <c r="B19" s="1"/>
      <c r="C19" s="3"/>
      <c r="E19" s="3"/>
      <c r="G19" s="3"/>
      <c r="I19" s="3"/>
    </row>
    <row r="20" spans="1:9" x14ac:dyDescent="0.3">
      <c r="B20" s="1"/>
      <c r="C20" s="3"/>
      <c r="E20" s="3"/>
      <c r="G20" s="3"/>
      <c r="I20" s="3"/>
    </row>
    <row r="21" spans="1:9" x14ac:dyDescent="0.3">
      <c r="B21" s="1"/>
      <c r="C21" s="3"/>
      <c r="E21" s="3"/>
      <c r="G21" s="3"/>
      <c r="I21" s="3"/>
    </row>
    <row r="22" spans="1:9" x14ac:dyDescent="0.3">
      <c r="B22" s="1"/>
      <c r="C22" s="3"/>
      <c r="E22" s="3"/>
      <c r="G22" s="3"/>
      <c r="I22" s="3"/>
    </row>
    <row r="23" spans="1:9" x14ac:dyDescent="0.3">
      <c r="B23" s="1"/>
    </row>
    <row r="24" spans="1:9" x14ac:dyDescent="0.3">
      <c r="B24" s="1"/>
      <c r="C24" s="4"/>
      <c r="E24" s="4"/>
      <c r="G24" s="4"/>
      <c r="I24" s="4"/>
    </row>
    <row r="25" spans="1:9" x14ac:dyDescent="0.3">
      <c r="B25" s="1"/>
    </row>
    <row r="26" spans="1:9" x14ac:dyDescent="0.3">
      <c r="A26" s="1"/>
      <c r="B26" s="1"/>
    </row>
    <row r="27" spans="1:9" x14ac:dyDescent="0.3">
      <c r="B27" s="1"/>
      <c r="C27" s="3"/>
      <c r="E27" s="3"/>
      <c r="G27" s="3"/>
      <c r="I27" s="3"/>
    </row>
    <row r="28" spans="1:9" x14ac:dyDescent="0.3">
      <c r="B28" s="1"/>
      <c r="C28" s="3"/>
      <c r="E28" s="3"/>
      <c r="G28" s="3"/>
      <c r="I28" s="3"/>
    </row>
    <row r="29" spans="1:9" x14ac:dyDescent="0.3">
      <c r="B29" s="1"/>
      <c r="C29" s="3"/>
      <c r="E29" s="3"/>
      <c r="G29" s="3"/>
      <c r="I29" s="3"/>
    </row>
    <row r="30" spans="1:9" x14ac:dyDescent="0.3">
      <c r="B30" s="1"/>
    </row>
    <row r="31" spans="1:9" x14ac:dyDescent="0.3">
      <c r="B31" s="1"/>
      <c r="C31" s="4"/>
      <c r="E31" s="4"/>
      <c r="G31" s="4"/>
      <c r="I31" s="4"/>
    </row>
    <row r="32" spans="1:9" x14ac:dyDescent="0.3">
      <c r="B32" s="1"/>
    </row>
    <row r="33" spans="1:11" x14ac:dyDescent="0.3">
      <c r="A33" s="1"/>
      <c r="B33" s="1"/>
    </row>
    <row r="34" spans="1:11" x14ac:dyDescent="0.3">
      <c r="B34" s="1"/>
      <c r="C34" s="3"/>
      <c r="E34" s="3"/>
      <c r="G34" s="3"/>
      <c r="I34" s="3"/>
    </row>
    <row r="35" spans="1:11" x14ac:dyDescent="0.3">
      <c r="B35" s="1"/>
      <c r="C35" s="3"/>
      <c r="E35" s="3"/>
      <c r="G35" s="3"/>
      <c r="I35" s="3"/>
    </row>
    <row r="36" spans="1:11" x14ac:dyDescent="0.3">
      <c r="B36" s="1"/>
      <c r="C36" s="3"/>
      <c r="E36" s="3"/>
      <c r="G36" s="3"/>
      <c r="I36" s="3"/>
    </row>
    <row r="37" spans="1:11" x14ac:dyDescent="0.3">
      <c r="B37" s="1"/>
      <c r="C37" s="3"/>
      <c r="E37" s="3"/>
      <c r="G37" s="3"/>
      <c r="I37" s="3"/>
    </row>
    <row r="38" spans="1:11" x14ac:dyDescent="0.3">
      <c r="B38" s="1"/>
      <c r="C38" s="3"/>
      <c r="E38" s="3"/>
      <c r="G38" s="3"/>
      <c r="I38" s="3"/>
      <c r="K38" s="57"/>
    </row>
    <row r="39" spans="1:11" x14ac:dyDescent="0.3">
      <c r="B39" s="1"/>
      <c r="C39" s="3"/>
      <c r="E39" s="3"/>
      <c r="G39" s="3"/>
      <c r="I39" s="3"/>
    </row>
    <row r="40" spans="1:11" x14ac:dyDescent="0.3">
      <c r="B40" s="1"/>
      <c r="C40" s="3"/>
      <c r="E40" s="3"/>
      <c r="G40" s="3"/>
      <c r="I40" s="3"/>
    </row>
    <row r="41" spans="1:11" x14ac:dyDescent="0.3">
      <c r="B41" s="1"/>
      <c r="C41" s="3"/>
      <c r="E41" s="3"/>
      <c r="G41" s="3"/>
      <c r="I41" s="3"/>
    </row>
    <row r="42" spans="1:11" x14ac:dyDescent="0.3">
      <c r="B42" s="1"/>
      <c r="C42" s="3"/>
      <c r="E42" s="3"/>
      <c r="G42" s="3"/>
      <c r="I42" s="3"/>
    </row>
    <row r="43" spans="1:11" x14ac:dyDescent="0.3">
      <c r="B43" s="1"/>
    </row>
    <row r="44" spans="1:11" x14ac:dyDescent="0.3">
      <c r="B44" s="1"/>
      <c r="C44" s="4"/>
      <c r="E44" s="4"/>
      <c r="G44" s="4"/>
      <c r="I44" s="4"/>
    </row>
    <row r="45" spans="1:11" x14ac:dyDescent="0.3">
      <c r="B45" s="1"/>
    </row>
    <row r="46" spans="1:11" x14ac:dyDescent="0.3">
      <c r="A46" s="1"/>
      <c r="B46" s="1"/>
    </row>
    <row r="47" spans="1:11" x14ac:dyDescent="0.3">
      <c r="B47" s="1"/>
      <c r="C47" s="3"/>
      <c r="E47" s="3"/>
      <c r="G47" s="3"/>
      <c r="I47" s="3"/>
    </row>
    <row r="48" spans="1:11" x14ac:dyDescent="0.3">
      <c r="B48" s="1"/>
      <c r="C48" s="3"/>
      <c r="E48" s="3"/>
      <c r="G48" s="3"/>
      <c r="I48" s="3"/>
    </row>
    <row r="49" spans="1:9" x14ac:dyDescent="0.3">
      <c r="B49" s="1"/>
      <c r="C49" s="3"/>
      <c r="E49" s="3"/>
      <c r="G49" s="3"/>
      <c r="I49" s="3"/>
    </row>
    <row r="50" spans="1:9" x14ac:dyDescent="0.3">
      <c r="B50" s="1"/>
      <c r="C50" s="3"/>
      <c r="E50" s="3"/>
      <c r="G50" s="3"/>
      <c r="I50" s="3"/>
    </row>
    <row r="51" spans="1:9" x14ac:dyDescent="0.3">
      <c r="B51" s="1"/>
      <c r="C51" s="3"/>
      <c r="E51" s="3"/>
      <c r="G51" s="3"/>
      <c r="I51" s="3"/>
    </row>
    <row r="52" spans="1:9" x14ac:dyDescent="0.3">
      <c r="B52" s="1"/>
      <c r="C52" s="3"/>
      <c r="E52" s="3"/>
      <c r="G52" s="3"/>
      <c r="I52" s="3"/>
    </row>
    <row r="53" spans="1:9" x14ac:dyDescent="0.3">
      <c r="B53" s="1"/>
      <c r="C53" s="3"/>
      <c r="E53" s="3"/>
      <c r="G53" s="3"/>
      <c r="I53" s="3"/>
    </row>
    <row r="54" spans="1:9" x14ac:dyDescent="0.3">
      <c r="B54" s="1"/>
      <c r="C54" s="3"/>
      <c r="E54" s="3"/>
      <c r="G54" s="3"/>
      <c r="I54" s="3"/>
    </row>
    <row r="55" spans="1:9" x14ac:dyDescent="0.3">
      <c r="B55" s="1"/>
      <c r="C55" s="3"/>
      <c r="E55" s="3"/>
      <c r="G55" s="3"/>
      <c r="I55" s="3"/>
    </row>
    <row r="56" spans="1:9" x14ac:dyDescent="0.3">
      <c r="B56" s="1"/>
      <c r="C56" s="3"/>
      <c r="E56" s="3"/>
      <c r="G56" s="3"/>
      <c r="I56" s="3"/>
    </row>
    <row r="57" spans="1:9" x14ac:dyDescent="0.3">
      <c r="B57" s="1"/>
      <c r="C57" s="3"/>
      <c r="E57" s="3"/>
      <c r="G57" s="3"/>
      <c r="I57" s="3"/>
    </row>
    <row r="58" spans="1:9" x14ac:dyDescent="0.3">
      <c r="B58" s="1"/>
      <c r="C58" s="3"/>
      <c r="E58" s="3"/>
      <c r="G58" s="3"/>
      <c r="I58" s="3"/>
    </row>
    <row r="59" spans="1:9" x14ac:dyDescent="0.3">
      <c r="B59" s="1"/>
      <c r="C59" s="3"/>
      <c r="E59" s="3"/>
      <c r="G59" s="3"/>
      <c r="I59" s="3"/>
    </row>
    <row r="60" spans="1:9" x14ac:dyDescent="0.3">
      <c r="B60" s="1"/>
      <c r="C60" s="3"/>
      <c r="E60" s="3"/>
      <c r="G60" s="3"/>
      <c r="I60" s="3"/>
    </row>
    <row r="61" spans="1:9" x14ac:dyDescent="0.3">
      <c r="B61" s="1"/>
    </row>
    <row r="62" spans="1:9" x14ac:dyDescent="0.3">
      <c r="B62" s="1"/>
      <c r="C62" s="3"/>
      <c r="E62" s="3"/>
      <c r="G62" s="3"/>
      <c r="I62" s="3"/>
    </row>
    <row r="63" spans="1:9" x14ac:dyDescent="0.3">
      <c r="B63" s="1"/>
    </row>
    <row r="64" spans="1:9" x14ac:dyDescent="0.3">
      <c r="A64" s="1"/>
      <c r="B64" s="1"/>
    </row>
    <row r="65" spans="2:9" x14ac:dyDescent="0.3">
      <c r="B65" s="1"/>
      <c r="C65" s="3"/>
      <c r="E65" s="3"/>
      <c r="G65" s="3"/>
      <c r="I65" s="3"/>
    </row>
    <row r="66" spans="2:9" x14ac:dyDescent="0.3">
      <c r="B66" s="1"/>
      <c r="C66" s="3"/>
      <c r="E66" s="3"/>
      <c r="G66" s="3"/>
      <c r="I66" s="3"/>
    </row>
    <row r="67" spans="2:9" x14ac:dyDescent="0.3">
      <c r="B67" s="1"/>
      <c r="C67" s="3"/>
      <c r="E67" s="3"/>
      <c r="G67" s="3"/>
      <c r="I67" s="3"/>
    </row>
    <row r="68" spans="2:9" x14ac:dyDescent="0.3">
      <c r="B68" s="1"/>
      <c r="C68" s="3"/>
      <c r="E68" s="3"/>
      <c r="G68" s="3"/>
      <c r="I68" s="3"/>
    </row>
    <row r="69" spans="2:9" x14ac:dyDescent="0.3">
      <c r="B69" s="1"/>
      <c r="C69" s="3"/>
      <c r="E69" s="3"/>
      <c r="G69" s="3"/>
      <c r="I69" s="3"/>
    </row>
    <row r="70" spans="2:9" x14ac:dyDescent="0.3">
      <c r="B70" s="1"/>
      <c r="C70" s="3"/>
      <c r="E70" s="3"/>
      <c r="G70" s="3"/>
      <c r="I70" s="3"/>
    </row>
    <row r="71" spans="2:9" x14ac:dyDescent="0.3">
      <c r="B71" s="1"/>
      <c r="C71" s="3"/>
      <c r="E71" s="3"/>
      <c r="G71" s="3"/>
      <c r="I71" s="3"/>
    </row>
    <row r="72" spans="2:9" x14ac:dyDescent="0.3">
      <c r="B72" s="1"/>
      <c r="C72" s="3"/>
      <c r="E72" s="3"/>
      <c r="G72" s="3"/>
      <c r="I72" s="3"/>
    </row>
    <row r="73" spans="2:9" x14ac:dyDescent="0.3">
      <c r="B73" s="1"/>
      <c r="C73" s="3"/>
      <c r="E73" s="3"/>
      <c r="G73" s="3"/>
      <c r="I73" s="3"/>
    </row>
    <row r="74" spans="2:9" x14ac:dyDescent="0.3">
      <c r="B74" s="1"/>
      <c r="C74" s="3"/>
      <c r="E74" s="3"/>
      <c r="G74" s="3"/>
      <c r="I74" s="3"/>
    </row>
    <row r="75" spans="2:9" x14ac:dyDescent="0.3">
      <c r="B75" s="1"/>
      <c r="C75" s="3"/>
      <c r="E75" s="3"/>
      <c r="G75" s="3"/>
      <c r="I75" s="3"/>
    </row>
    <row r="76" spans="2:9" x14ac:dyDescent="0.3">
      <c r="B76" s="1"/>
      <c r="C76" s="3"/>
      <c r="E76" s="3"/>
      <c r="G76" s="3"/>
      <c r="I76" s="3"/>
    </row>
    <row r="77" spans="2:9" x14ac:dyDescent="0.3">
      <c r="B77" s="1"/>
      <c r="C77" s="3"/>
      <c r="E77" s="3"/>
      <c r="G77" s="3"/>
      <c r="I77" s="3"/>
    </row>
    <row r="78" spans="2:9" x14ac:dyDescent="0.3">
      <c r="B78" s="1"/>
      <c r="C78" s="3"/>
      <c r="E78" s="3"/>
      <c r="G78" s="3"/>
      <c r="I78" s="3"/>
    </row>
    <row r="79" spans="2:9" x14ac:dyDescent="0.3">
      <c r="B79" s="1"/>
      <c r="C79" s="3"/>
      <c r="E79" s="3"/>
      <c r="G79" s="3"/>
      <c r="I79" s="3"/>
    </row>
    <row r="80" spans="2:9" x14ac:dyDescent="0.3">
      <c r="B80" s="1"/>
      <c r="C80" s="3"/>
      <c r="E80" s="3"/>
      <c r="G80" s="3"/>
      <c r="I80" s="3"/>
    </row>
    <row r="81" spans="1:9" x14ac:dyDescent="0.3">
      <c r="B81" s="1"/>
      <c r="C81" s="3"/>
      <c r="E81" s="3"/>
      <c r="G81" s="3"/>
      <c r="I81" s="3"/>
    </row>
    <row r="82" spans="1:9" x14ac:dyDescent="0.3">
      <c r="B82" s="1"/>
      <c r="C82" s="3"/>
      <c r="E82" s="3"/>
      <c r="G82" s="3"/>
      <c r="I82" s="3"/>
    </row>
    <row r="83" spans="1:9" x14ac:dyDescent="0.3">
      <c r="B83" s="1"/>
    </row>
    <row r="84" spans="1:9" x14ac:dyDescent="0.3">
      <c r="B84" s="1"/>
      <c r="C84" s="3"/>
      <c r="E84" s="3"/>
      <c r="G84" s="3"/>
      <c r="I84" s="3"/>
    </row>
    <row r="85" spans="1:9" x14ac:dyDescent="0.3">
      <c r="B85" s="1"/>
    </row>
    <row r="86" spans="1:9" x14ac:dyDescent="0.3">
      <c r="A86" s="1"/>
      <c r="B86" s="1"/>
    </row>
    <row r="87" spans="1:9" x14ac:dyDescent="0.3">
      <c r="B87" s="1"/>
    </row>
    <row r="88" spans="1:9" x14ac:dyDescent="0.3">
      <c r="B88" s="1"/>
    </row>
    <row r="89" spans="1:9" x14ac:dyDescent="0.3">
      <c r="A89" s="1"/>
      <c r="B89" s="1"/>
    </row>
    <row r="90" spans="1:9" x14ac:dyDescent="0.3">
      <c r="B90" s="1"/>
    </row>
    <row r="91" spans="1:9" x14ac:dyDescent="0.3">
      <c r="B91" s="1"/>
    </row>
    <row r="92" spans="1:9" x14ac:dyDescent="0.3">
      <c r="B92" s="1"/>
    </row>
    <row r="93" spans="1:9" x14ac:dyDescent="0.3">
      <c r="B93" s="1"/>
    </row>
    <row r="94" spans="1:9" x14ac:dyDescent="0.3">
      <c r="B94" s="1"/>
    </row>
    <row r="95" spans="1:9" x14ac:dyDescent="0.3">
      <c r="B95" s="1"/>
    </row>
    <row r="96" spans="1:9" x14ac:dyDescent="0.3">
      <c r="B96" s="1"/>
    </row>
    <row r="97" spans="2:2" x14ac:dyDescent="0.3">
      <c r="B97" s="1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B2:G192"/>
  <sheetViews>
    <sheetView zoomScaleNormal="100" workbookViewId="0">
      <selection activeCell="B1" sqref="B1"/>
    </sheetView>
  </sheetViews>
  <sheetFormatPr baseColWidth="10" defaultRowHeight="14.4" x14ac:dyDescent="0.3"/>
  <cols>
    <col min="1" max="1" width="37.6640625" customWidth="1"/>
    <col min="2" max="2" width="71.109375" customWidth="1"/>
    <col min="3" max="22" width="14.77734375" customWidth="1"/>
  </cols>
  <sheetData>
    <row r="2" spans="2:4" ht="18" x14ac:dyDescent="0.35">
      <c r="B2" s="2" t="s">
        <v>204</v>
      </c>
    </row>
    <row r="4" spans="2:4" ht="15.6" x14ac:dyDescent="0.3">
      <c r="B4" s="5" t="s">
        <v>205</v>
      </c>
    </row>
    <row r="6" spans="2:4" ht="15.6" x14ac:dyDescent="0.3">
      <c r="B6" s="50" t="s">
        <v>206</v>
      </c>
      <c r="C6" s="51"/>
      <c r="D6" s="51"/>
    </row>
    <row r="8" spans="2:4" x14ac:dyDescent="0.3">
      <c r="B8" s="11" t="s">
        <v>179</v>
      </c>
      <c r="C8" s="12"/>
      <c r="D8" s="12"/>
    </row>
    <row r="9" spans="2:4" x14ac:dyDescent="0.3">
      <c r="B9" s="12"/>
      <c r="C9" s="12"/>
      <c r="D9" s="12"/>
    </row>
    <row r="10" spans="2:4" x14ac:dyDescent="0.3">
      <c r="B10" s="11" t="s">
        <v>1</v>
      </c>
      <c r="C10" s="11" t="s">
        <v>181</v>
      </c>
      <c r="D10" s="13" t="s">
        <v>81</v>
      </c>
    </row>
    <row r="11" spans="2:4" x14ac:dyDescent="0.3">
      <c r="B11" s="9" t="s">
        <v>41</v>
      </c>
      <c r="C11" s="9">
        <v>1309527</v>
      </c>
      <c r="D11" s="10">
        <f>C11/1811866</f>
        <v>0.72275046830173972</v>
      </c>
    </row>
    <row r="12" spans="2:4" x14ac:dyDescent="0.3">
      <c r="B12" s="9" t="s">
        <v>76</v>
      </c>
      <c r="C12" s="9">
        <v>131997</v>
      </c>
      <c r="D12" s="10">
        <f t="shared" ref="D12:D52" si="0">C12/1811866</f>
        <v>7.2851413956661254E-2</v>
      </c>
    </row>
    <row r="13" spans="2:4" x14ac:dyDescent="0.3">
      <c r="B13" s="9" t="s">
        <v>42</v>
      </c>
      <c r="C13" s="9">
        <v>8591</v>
      </c>
      <c r="D13" s="10">
        <f t="shared" si="0"/>
        <v>4.7415206201783132E-3</v>
      </c>
    </row>
    <row r="14" spans="2:4" x14ac:dyDescent="0.3">
      <c r="B14" s="9" t="s">
        <v>43</v>
      </c>
      <c r="C14" s="9">
        <v>2845</v>
      </c>
      <c r="D14" s="10">
        <f t="shared" si="0"/>
        <v>1.5702044190905951E-3</v>
      </c>
    </row>
    <row r="15" spans="2:4" x14ac:dyDescent="0.3">
      <c r="B15" s="9" t="s">
        <v>44</v>
      </c>
      <c r="C15" s="9">
        <v>0</v>
      </c>
      <c r="D15" s="10">
        <f t="shared" si="0"/>
        <v>0</v>
      </c>
    </row>
    <row r="16" spans="2:4" x14ac:dyDescent="0.3">
      <c r="B16" s="9" t="s">
        <v>45</v>
      </c>
      <c r="C16" s="9">
        <v>2950</v>
      </c>
      <c r="D16" s="10">
        <f t="shared" si="0"/>
        <v>1.6281557245403358E-3</v>
      </c>
    </row>
    <row r="17" spans="2:4" x14ac:dyDescent="0.3">
      <c r="B17" s="9" t="s">
        <v>207</v>
      </c>
      <c r="C17" s="9">
        <v>6074</v>
      </c>
      <c r="D17" s="10">
        <f t="shared" si="0"/>
        <v>3.3523450409688135E-3</v>
      </c>
    </row>
    <row r="18" spans="2:4" x14ac:dyDescent="0.3">
      <c r="B18" s="9" t="s">
        <v>46</v>
      </c>
      <c r="C18" s="9">
        <v>61747</v>
      </c>
      <c r="D18" s="10">
        <f t="shared" si="0"/>
        <v>3.4079231024810884E-2</v>
      </c>
    </row>
    <row r="19" spans="2:4" x14ac:dyDescent="0.3">
      <c r="B19" s="9" t="s">
        <v>47</v>
      </c>
      <c r="C19" s="9">
        <v>419</v>
      </c>
      <c r="D19" s="10">
        <f t="shared" si="0"/>
        <v>2.3125330460420363E-4</v>
      </c>
    </row>
    <row r="20" spans="2:4" x14ac:dyDescent="0.3">
      <c r="B20" s="9" t="s">
        <v>48</v>
      </c>
      <c r="C20" s="9">
        <v>1388</v>
      </c>
      <c r="D20" s="10">
        <f t="shared" si="0"/>
        <v>7.6606106632609691E-4</v>
      </c>
    </row>
    <row r="21" spans="2:4" x14ac:dyDescent="0.3">
      <c r="B21" s="9" t="s">
        <v>49</v>
      </c>
      <c r="C21" s="9">
        <v>119</v>
      </c>
      <c r="D21" s="10">
        <f t="shared" si="0"/>
        <v>6.5678146176372863E-5</v>
      </c>
    </row>
    <row r="22" spans="2:4" x14ac:dyDescent="0.3">
      <c r="B22" s="9" t="s">
        <v>208</v>
      </c>
      <c r="C22" s="9">
        <v>24</v>
      </c>
      <c r="D22" s="10">
        <f t="shared" si="0"/>
        <v>1.324601267422646E-5</v>
      </c>
    </row>
    <row r="23" spans="2:4" x14ac:dyDescent="0.3">
      <c r="B23" s="9" t="s">
        <v>50</v>
      </c>
      <c r="C23" s="9">
        <v>1276</v>
      </c>
      <c r="D23" s="10">
        <f t="shared" si="0"/>
        <v>7.0424634051304013E-4</v>
      </c>
    </row>
    <row r="24" spans="2:4" x14ac:dyDescent="0.3">
      <c r="B24" s="9" t="s">
        <v>51</v>
      </c>
      <c r="C24" s="9">
        <v>10889</v>
      </c>
      <c r="D24" s="10">
        <f t="shared" si="0"/>
        <v>6.0098263337354969E-3</v>
      </c>
    </row>
    <row r="25" spans="2:4" x14ac:dyDescent="0.3">
      <c r="B25" s="9" t="s">
        <v>52</v>
      </c>
      <c r="C25" s="9">
        <v>190</v>
      </c>
      <c r="D25" s="10">
        <f t="shared" si="0"/>
        <v>1.0486426700429281E-4</v>
      </c>
    </row>
    <row r="26" spans="2:4" x14ac:dyDescent="0.3">
      <c r="B26" s="9" t="s">
        <v>53</v>
      </c>
      <c r="C26" s="9">
        <v>2671</v>
      </c>
      <c r="D26" s="10">
        <f t="shared" si="0"/>
        <v>1.4741708272024531E-3</v>
      </c>
    </row>
    <row r="27" spans="2:4" x14ac:dyDescent="0.3">
      <c r="B27" s="9" t="s">
        <v>54</v>
      </c>
      <c r="C27" s="9">
        <v>5582</v>
      </c>
      <c r="D27" s="10">
        <f t="shared" si="0"/>
        <v>3.080801781147171E-3</v>
      </c>
    </row>
    <row r="28" spans="2:4" x14ac:dyDescent="0.3">
      <c r="B28" s="9" t="s">
        <v>55</v>
      </c>
      <c r="C28" s="9">
        <v>0</v>
      </c>
      <c r="D28" s="10">
        <f t="shared" si="0"/>
        <v>0</v>
      </c>
    </row>
    <row r="29" spans="2:4" x14ac:dyDescent="0.3">
      <c r="B29" s="9" t="s">
        <v>209</v>
      </c>
      <c r="C29" s="9">
        <v>79</v>
      </c>
      <c r="D29" s="10">
        <f t="shared" si="0"/>
        <v>4.3601458385995432E-5</v>
      </c>
    </row>
    <row r="30" spans="2:4" x14ac:dyDescent="0.3">
      <c r="B30" s="9" t="s">
        <v>56</v>
      </c>
      <c r="C30" s="9">
        <v>1320</v>
      </c>
      <c r="D30" s="10">
        <f t="shared" si="0"/>
        <v>7.2853069708245536E-4</v>
      </c>
    </row>
    <row r="31" spans="2:4" x14ac:dyDescent="0.3">
      <c r="B31" s="9" t="s">
        <v>57</v>
      </c>
      <c r="C31" s="9">
        <v>44</v>
      </c>
      <c r="D31" s="10">
        <f t="shared" si="0"/>
        <v>2.4284356569415179E-5</v>
      </c>
    </row>
    <row r="32" spans="2:4" x14ac:dyDescent="0.3">
      <c r="B32" s="9" t="s">
        <v>210</v>
      </c>
      <c r="C32" s="9">
        <v>0</v>
      </c>
      <c r="D32" s="10">
        <f t="shared" si="0"/>
        <v>0</v>
      </c>
    </row>
    <row r="33" spans="2:4" x14ac:dyDescent="0.3">
      <c r="B33" s="9" t="s">
        <v>58</v>
      </c>
      <c r="C33" s="9">
        <v>6</v>
      </c>
      <c r="D33" s="10">
        <f t="shared" si="0"/>
        <v>3.311503168556615E-6</v>
      </c>
    </row>
    <row r="34" spans="2:4" x14ac:dyDescent="0.3">
      <c r="B34" s="9" t="s">
        <v>211</v>
      </c>
      <c r="C34" s="9">
        <v>3</v>
      </c>
      <c r="D34" s="10">
        <f t="shared" si="0"/>
        <v>1.6557515842783075E-6</v>
      </c>
    </row>
    <row r="35" spans="2:4" x14ac:dyDescent="0.3">
      <c r="B35" s="9" t="s">
        <v>212</v>
      </c>
      <c r="C35" s="9">
        <v>0</v>
      </c>
      <c r="D35" s="10">
        <f t="shared" si="0"/>
        <v>0</v>
      </c>
    </row>
    <row r="36" spans="2:4" x14ac:dyDescent="0.3">
      <c r="B36" s="9" t="s">
        <v>213</v>
      </c>
      <c r="C36" s="9">
        <v>0</v>
      </c>
      <c r="D36" s="10">
        <f t="shared" si="0"/>
        <v>0</v>
      </c>
    </row>
    <row r="37" spans="2:4" x14ac:dyDescent="0.3">
      <c r="B37" s="9" t="s">
        <v>59</v>
      </c>
      <c r="C37" s="9">
        <v>0</v>
      </c>
      <c r="D37" s="10">
        <f t="shared" si="0"/>
        <v>0</v>
      </c>
    </row>
    <row r="38" spans="2:4" x14ac:dyDescent="0.3">
      <c r="B38" s="9" t="s">
        <v>214</v>
      </c>
      <c r="C38" s="9">
        <v>2027</v>
      </c>
      <c r="D38" s="10">
        <f t="shared" si="0"/>
        <v>1.1187361537773764E-3</v>
      </c>
    </row>
    <row r="39" spans="2:4" x14ac:dyDescent="0.3">
      <c r="B39" s="9" t="s">
        <v>60</v>
      </c>
      <c r="C39" s="9">
        <v>18451</v>
      </c>
      <c r="D39" s="10">
        <f t="shared" si="0"/>
        <v>1.0183424160506351E-2</v>
      </c>
    </row>
    <row r="40" spans="2:4" x14ac:dyDescent="0.3">
      <c r="B40" s="9" t="s">
        <v>61</v>
      </c>
      <c r="C40" s="9">
        <v>80</v>
      </c>
      <c r="D40" s="10">
        <f t="shared" si="0"/>
        <v>4.4153375580754867E-5</v>
      </c>
    </row>
    <row r="41" spans="2:4" x14ac:dyDescent="0.3">
      <c r="B41" s="9" t="s">
        <v>78</v>
      </c>
      <c r="C41" s="9">
        <v>7608</v>
      </c>
      <c r="D41" s="10">
        <f t="shared" si="0"/>
        <v>4.1989860177297882E-3</v>
      </c>
    </row>
    <row r="42" spans="2:4" x14ac:dyDescent="0.3">
      <c r="B42" s="9" t="s">
        <v>62</v>
      </c>
      <c r="C42" s="9">
        <v>269</v>
      </c>
      <c r="D42" s="10">
        <f t="shared" si="0"/>
        <v>1.4846572539028825E-4</v>
      </c>
    </row>
    <row r="43" spans="2:4" x14ac:dyDescent="0.3">
      <c r="B43" s="9" t="s">
        <v>314</v>
      </c>
      <c r="C43" s="9">
        <v>2632</v>
      </c>
      <c r="D43" s="10">
        <f t="shared" si="0"/>
        <v>1.4526460566068353E-3</v>
      </c>
    </row>
    <row r="44" spans="2:4" x14ac:dyDescent="0.3">
      <c r="B44" s="9" t="s">
        <v>79</v>
      </c>
      <c r="C44" s="9">
        <v>7932</v>
      </c>
      <c r="D44" s="10">
        <f t="shared" si="0"/>
        <v>4.3778071888318452E-3</v>
      </c>
    </row>
    <row r="45" spans="2:4" x14ac:dyDescent="0.3">
      <c r="B45" s="9" t="s">
        <v>215</v>
      </c>
      <c r="C45" s="9">
        <v>3635</v>
      </c>
      <c r="D45" s="10">
        <f t="shared" si="0"/>
        <v>2.0062190029505492E-3</v>
      </c>
    </row>
    <row r="46" spans="2:4" x14ac:dyDescent="0.3">
      <c r="B46" s="9" t="s">
        <v>63</v>
      </c>
      <c r="C46" s="9">
        <v>155002</v>
      </c>
      <c r="D46" s="10">
        <f t="shared" si="0"/>
        <v>8.554826902210208E-2</v>
      </c>
    </row>
    <row r="47" spans="2:4" x14ac:dyDescent="0.3">
      <c r="B47" s="9" t="s">
        <v>216</v>
      </c>
      <c r="C47" s="9">
        <v>954</v>
      </c>
      <c r="D47" s="10">
        <f t="shared" si="0"/>
        <v>5.2652900380050177E-4</v>
      </c>
    </row>
    <row r="48" spans="2:4" x14ac:dyDescent="0.3">
      <c r="B48" s="9" t="s">
        <v>64</v>
      </c>
      <c r="C48" s="9">
        <v>23398</v>
      </c>
      <c r="D48" s="10">
        <f t="shared" si="0"/>
        <v>1.2913758522981281E-2</v>
      </c>
    </row>
    <row r="49" spans="2:4" x14ac:dyDescent="0.3">
      <c r="B49" s="9" t="s">
        <v>65</v>
      </c>
      <c r="C49" s="9">
        <v>500</v>
      </c>
      <c r="D49" s="10">
        <f t="shared" si="0"/>
        <v>2.7595859737971793E-4</v>
      </c>
    </row>
    <row r="50" spans="2:4" x14ac:dyDescent="0.3">
      <c r="B50" s="9" t="s">
        <v>217</v>
      </c>
      <c r="C50" s="9">
        <v>41581</v>
      </c>
      <c r="D50" s="10">
        <f t="shared" si="0"/>
        <v>2.2949268875292101E-2</v>
      </c>
    </row>
    <row r="51" spans="2:4" ht="15" thickBot="1" x14ac:dyDescent="0.35">
      <c r="B51" s="28" t="s">
        <v>66</v>
      </c>
      <c r="C51" s="28">
        <v>56</v>
      </c>
      <c r="D51" s="32">
        <f t="shared" si="0"/>
        <v>3.090736290652841E-5</v>
      </c>
    </row>
    <row r="52" spans="2:4" x14ac:dyDescent="0.3">
      <c r="B52" s="27" t="s">
        <v>180</v>
      </c>
      <c r="C52" s="27">
        <f>SUM(C11:C51)</f>
        <v>1811866</v>
      </c>
      <c r="D52" s="31">
        <f t="shared" si="0"/>
        <v>1</v>
      </c>
    </row>
    <row r="53" spans="2:4" x14ac:dyDescent="0.3">
      <c r="B53" s="15"/>
      <c r="C53" s="15"/>
      <c r="D53" s="16"/>
    </row>
    <row r="55" spans="2:4" x14ac:dyDescent="0.3">
      <c r="B55" s="11" t="s">
        <v>219</v>
      </c>
      <c r="C55" s="12"/>
      <c r="D55" s="12"/>
    </row>
    <row r="56" spans="2:4" x14ac:dyDescent="0.3">
      <c r="B56" s="12"/>
      <c r="C56" s="12"/>
      <c r="D56" s="12"/>
    </row>
    <row r="57" spans="2:4" s="1" customFormat="1" x14ac:dyDescent="0.3">
      <c r="B57" s="11" t="s">
        <v>218</v>
      </c>
      <c r="C57" s="11" t="s">
        <v>181</v>
      </c>
      <c r="D57" s="13" t="s">
        <v>81</v>
      </c>
    </row>
    <row r="58" spans="2:4" x14ac:dyDescent="0.3">
      <c r="B58" s="9" t="s">
        <v>161</v>
      </c>
      <c r="C58" s="9">
        <v>1575907</v>
      </c>
      <c r="D58" s="10">
        <f>C58/C61</f>
        <v>0.86977017064175832</v>
      </c>
    </row>
    <row r="59" spans="2:4" x14ac:dyDescent="0.3">
      <c r="B59" s="9" t="s">
        <v>162</v>
      </c>
      <c r="C59" s="9">
        <v>235903</v>
      </c>
      <c r="D59" s="10">
        <f>C59/C61</f>
        <v>0.1301989219953352</v>
      </c>
    </row>
    <row r="60" spans="2:4" x14ac:dyDescent="0.3">
      <c r="B60" s="9" t="s">
        <v>82</v>
      </c>
      <c r="C60" s="9">
        <v>56</v>
      </c>
      <c r="D60" s="10">
        <f>C60/C61</f>
        <v>3.090736290652841E-5</v>
      </c>
    </row>
    <row r="61" spans="2:4" x14ac:dyDescent="0.3">
      <c r="B61" s="8" t="s">
        <v>180</v>
      </c>
      <c r="C61" s="8">
        <f>SUM(C57:C60)</f>
        <v>1811866</v>
      </c>
      <c r="D61" s="14">
        <f>C61/C61</f>
        <v>1</v>
      </c>
    </row>
    <row r="62" spans="2:4" x14ac:dyDescent="0.3">
      <c r="B62" s="9"/>
      <c r="C62" s="9"/>
      <c r="D62" s="9"/>
    </row>
    <row r="63" spans="2:4" s="1" customFormat="1" x14ac:dyDescent="0.3">
      <c r="B63" s="11" t="s">
        <v>166</v>
      </c>
      <c r="C63" s="11" t="s">
        <v>181</v>
      </c>
      <c r="D63" s="13" t="s">
        <v>81</v>
      </c>
    </row>
    <row r="64" spans="2:4" x14ac:dyDescent="0.3">
      <c r="B64" s="9" t="s">
        <v>80</v>
      </c>
      <c r="C64" s="9">
        <v>1549768</v>
      </c>
      <c r="D64" s="10">
        <f>C64/C70</f>
        <v>0.85534360708794133</v>
      </c>
    </row>
    <row r="65" spans="2:4" x14ac:dyDescent="0.3">
      <c r="B65" s="9" t="s">
        <v>3</v>
      </c>
      <c r="C65" s="9">
        <v>221435</v>
      </c>
      <c r="D65" s="10">
        <f>C65/C70</f>
        <v>0.12221378402155568</v>
      </c>
    </row>
    <row r="66" spans="2:4" x14ac:dyDescent="0.3">
      <c r="B66" s="9" t="s">
        <v>2</v>
      </c>
      <c r="C66" s="9">
        <v>26139</v>
      </c>
      <c r="D66" s="10">
        <f>C66/C70</f>
        <v>1.4426563553816893E-2</v>
      </c>
    </row>
    <row r="67" spans="2:4" x14ac:dyDescent="0.3">
      <c r="B67" s="9" t="s">
        <v>83</v>
      </c>
      <c r="C67" s="9">
        <v>14199</v>
      </c>
      <c r="D67" s="10">
        <f>C67/C70</f>
        <v>7.8366722483892304E-3</v>
      </c>
    </row>
    <row r="68" spans="2:4" x14ac:dyDescent="0.3">
      <c r="B68" s="9" t="s">
        <v>62</v>
      </c>
      <c r="C68" s="9">
        <v>269</v>
      </c>
      <c r="D68" s="10">
        <f>C68/C70</f>
        <v>1.4846572539028825E-4</v>
      </c>
    </row>
    <row r="69" spans="2:4" ht="15" thickBot="1" x14ac:dyDescent="0.35">
      <c r="B69" s="33" t="s">
        <v>66</v>
      </c>
      <c r="C69" s="33">
        <v>56</v>
      </c>
      <c r="D69" s="34">
        <f>C69/C70</f>
        <v>3.090736290652841E-5</v>
      </c>
    </row>
    <row r="70" spans="2:4" x14ac:dyDescent="0.3">
      <c r="B70" s="27" t="s">
        <v>180</v>
      </c>
      <c r="C70" s="27">
        <f>SUM(C64:C69)</f>
        <v>1811866</v>
      </c>
      <c r="D70" s="31">
        <f>C70/C70</f>
        <v>1</v>
      </c>
    </row>
    <row r="71" spans="2:4" x14ac:dyDescent="0.3">
      <c r="B71" s="9"/>
      <c r="C71" s="9"/>
      <c r="D71" s="9"/>
    </row>
    <row r="72" spans="2:4" s="1" customFormat="1" x14ac:dyDescent="0.3">
      <c r="B72" s="11" t="s">
        <v>80</v>
      </c>
      <c r="C72" s="11" t="s">
        <v>181</v>
      </c>
      <c r="D72" s="13" t="s">
        <v>81</v>
      </c>
    </row>
    <row r="73" spans="2:4" x14ac:dyDescent="0.3">
      <c r="B73" s="9" t="s">
        <v>84</v>
      </c>
      <c r="C73" s="9">
        <v>1461984</v>
      </c>
      <c r="D73" s="10">
        <f>C73/C80</f>
        <v>0.94335668306482001</v>
      </c>
    </row>
    <row r="74" spans="2:4" x14ac:dyDescent="0.3">
      <c r="B74" s="9" t="s">
        <v>46</v>
      </c>
      <c r="C74" s="9">
        <v>61747</v>
      </c>
      <c r="D74" s="10">
        <f>C74/C80</f>
        <v>3.9842737751715096E-2</v>
      </c>
    </row>
    <row r="75" spans="2:4" x14ac:dyDescent="0.3">
      <c r="B75" s="9" t="s">
        <v>85</v>
      </c>
      <c r="C75" s="9">
        <v>1950</v>
      </c>
      <c r="D75" s="10">
        <f>C75/C80</f>
        <v>1.2582528481682419E-3</v>
      </c>
    </row>
    <row r="76" spans="2:4" x14ac:dyDescent="0.3">
      <c r="B76" s="9" t="s">
        <v>86</v>
      </c>
      <c r="C76" s="9">
        <v>1276</v>
      </c>
      <c r="D76" s="10">
        <f>C76/C80</f>
        <v>8.2334904321162907E-4</v>
      </c>
    </row>
    <row r="77" spans="2:4" x14ac:dyDescent="0.3">
      <c r="B77" s="9" t="s">
        <v>87</v>
      </c>
      <c r="C77" s="9">
        <v>19332</v>
      </c>
      <c r="D77" s="10">
        <f>C77/C80</f>
        <v>1.2474125159378693E-2</v>
      </c>
    </row>
    <row r="78" spans="2:4" x14ac:dyDescent="0.3">
      <c r="B78" s="9" t="s">
        <v>88</v>
      </c>
      <c r="C78" s="9">
        <v>1452</v>
      </c>
      <c r="D78" s="10">
        <f>C78/C80</f>
        <v>9.3691442848219868E-4</v>
      </c>
    </row>
    <row r="79" spans="2:4" ht="15" thickBot="1" x14ac:dyDescent="0.35">
      <c r="B79" s="28" t="s">
        <v>89</v>
      </c>
      <c r="C79" s="28">
        <v>2027</v>
      </c>
      <c r="D79" s="32">
        <f>C79/C80</f>
        <v>1.3079377042241162E-3</v>
      </c>
    </row>
    <row r="80" spans="2:4" x14ac:dyDescent="0.3">
      <c r="B80" s="27" t="s">
        <v>180</v>
      </c>
      <c r="C80" s="27">
        <f>SUM(C73:C79)</f>
        <v>1549768</v>
      </c>
      <c r="D80" s="31">
        <f>C80/C80</f>
        <v>1</v>
      </c>
    </row>
    <row r="81" spans="2:7" x14ac:dyDescent="0.3">
      <c r="B81" s="9"/>
      <c r="C81" s="9"/>
      <c r="D81" s="9"/>
    </row>
    <row r="82" spans="2:7" x14ac:dyDescent="0.3">
      <c r="B82" s="11" t="s">
        <v>88</v>
      </c>
      <c r="C82" s="11" t="s">
        <v>181</v>
      </c>
      <c r="D82" s="13" t="s">
        <v>81</v>
      </c>
    </row>
    <row r="83" spans="2:7" x14ac:dyDescent="0.3">
      <c r="B83" s="9" t="s">
        <v>91</v>
      </c>
      <c r="C83" s="9">
        <v>1370</v>
      </c>
      <c r="D83" s="10">
        <f>C83/C86</f>
        <v>0.94352617079889811</v>
      </c>
    </row>
    <row r="84" spans="2:7" x14ac:dyDescent="0.3">
      <c r="B84" s="9" t="s">
        <v>90</v>
      </c>
      <c r="C84" s="9">
        <v>82</v>
      </c>
      <c r="D84" s="10">
        <f>C84/C86</f>
        <v>5.647382920110193E-2</v>
      </c>
    </row>
    <row r="85" spans="2:7" ht="15" thickBot="1" x14ac:dyDescent="0.35">
      <c r="B85" s="28" t="s">
        <v>55</v>
      </c>
      <c r="C85" s="28">
        <v>0</v>
      </c>
      <c r="D85" s="32">
        <f>C85/C86</f>
        <v>0</v>
      </c>
    </row>
    <row r="86" spans="2:7" x14ac:dyDescent="0.3">
      <c r="B86" s="27" t="s">
        <v>180</v>
      </c>
      <c r="C86" s="27">
        <f>SUM(C83:C85)</f>
        <v>1452</v>
      </c>
      <c r="D86" s="31">
        <f>C86/C86</f>
        <v>1</v>
      </c>
    </row>
    <row r="89" spans="2:7" ht="15.6" x14ac:dyDescent="0.3">
      <c r="B89" s="50" t="s">
        <v>220</v>
      </c>
      <c r="C89" s="51"/>
      <c r="D89" s="51"/>
      <c r="E89" s="51"/>
      <c r="F89" s="51"/>
      <c r="G89" s="51"/>
    </row>
    <row r="91" spans="2:7" x14ac:dyDescent="0.3">
      <c r="B91" s="11" t="s">
        <v>185</v>
      </c>
      <c r="C91" s="12"/>
      <c r="D91" s="12"/>
      <c r="E91" s="12"/>
      <c r="F91" s="12"/>
      <c r="G91" s="12"/>
    </row>
    <row r="92" spans="2:7" x14ac:dyDescent="0.3">
      <c r="B92" s="12"/>
      <c r="C92" s="12"/>
      <c r="D92" s="12"/>
      <c r="E92" s="12"/>
      <c r="F92" s="12"/>
      <c r="G92" s="12"/>
    </row>
    <row r="93" spans="2:7" x14ac:dyDescent="0.3">
      <c r="B93" s="11" t="s">
        <v>1</v>
      </c>
      <c r="C93" s="58" t="s">
        <v>92</v>
      </c>
      <c r="D93" s="59"/>
      <c r="E93" s="59"/>
      <c r="F93" s="60"/>
      <c r="G93" s="13" t="s">
        <v>181</v>
      </c>
    </row>
    <row r="94" spans="2:7" ht="62.25" customHeight="1" x14ac:dyDescent="0.3">
      <c r="B94" s="11"/>
      <c r="C94" s="17" t="s">
        <v>93</v>
      </c>
      <c r="D94" s="17" t="s">
        <v>94</v>
      </c>
      <c r="E94" s="17" t="s">
        <v>95</v>
      </c>
      <c r="F94" s="17" t="s">
        <v>96</v>
      </c>
      <c r="G94" s="17"/>
    </row>
    <row r="95" spans="2:7" x14ac:dyDescent="0.3">
      <c r="B95" s="9" t="s">
        <v>41</v>
      </c>
      <c r="C95" s="9">
        <v>1295713</v>
      </c>
      <c r="D95" s="9">
        <v>2171</v>
      </c>
      <c r="E95" s="9">
        <v>1237</v>
      </c>
      <c r="F95" s="9">
        <v>10406</v>
      </c>
      <c r="G95" s="9">
        <f t="shared" ref="G95:G123" si="1">SUM(C95:F95)</f>
        <v>1309527</v>
      </c>
    </row>
    <row r="96" spans="2:7" x14ac:dyDescent="0.3">
      <c r="B96" s="9" t="s">
        <v>76</v>
      </c>
      <c r="C96" s="9">
        <v>130874</v>
      </c>
      <c r="D96" s="9">
        <v>288</v>
      </c>
      <c r="E96" s="9">
        <v>0</v>
      </c>
      <c r="F96" s="9">
        <v>835</v>
      </c>
      <c r="G96" s="9">
        <f t="shared" si="1"/>
        <v>131997</v>
      </c>
    </row>
    <row r="97" spans="2:7" x14ac:dyDescent="0.3">
      <c r="B97" s="9" t="s">
        <v>42</v>
      </c>
      <c r="C97" s="9">
        <v>8579</v>
      </c>
      <c r="D97" s="9">
        <v>3</v>
      </c>
      <c r="E97" s="9">
        <v>9</v>
      </c>
      <c r="F97" s="9">
        <v>0</v>
      </c>
      <c r="G97" s="9">
        <f t="shared" si="1"/>
        <v>8591</v>
      </c>
    </row>
    <row r="98" spans="2:7" x14ac:dyDescent="0.3">
      <c r="B98" s="9" t="s">
        <v>43</v>
      </c>
      <c r="C98" s="9">
        <v>2767</v>
      </c>
      <c r="D98" s="9">
        <v>0</v>
      </c>
      <c r="E98" s="9">
        <v>46</v>
      </c>
      <c r="F98" s="9">
        <v>32</v>
      </c>
      <c r="G98" s="9">
        <f t="shared" si="1"/>
        <v>2845</v>
      </c>
    </row>
    <row r="99" spans="2:7" x14ac:dyDescent="0.3">
      <c r="B99" s="9" t="s">
        <v>44</v>
      </c>
      <c r="C99" s="9">
        <v>0</v>
      </c>
      <c r="D99" s="9">
        <v>0</v>
      </c>
      <c r="E99" s="9">
        <v>0</v>
      </c>
      <c r="F99" s="9">
        <v>0</v>
      </c>
      <c r="G99" s="9">
        <f t="shared" si="1"/>
        <v>0</v>
      </c>
    </row>
    <row r="100" spans="2:7" x14ac:dyDescent="0.3">
      <c r="B100" s="9" t="s">
        <v>45</v>
      </c>
      <c r="C100" s="9">
        <v>2896</v>
      </c>
      <c r="D100" s="9">
        <v>54</v>
      </c>
      <c r="E100" s="9">
        <v>0</v>
      </c>
      <c r="F100" s="9">
        <v>0</v>
      </c>
      <c r="G100" s="9">
        <f t="shared" si="1"/>
        <v>2950</v>
      </c>
    </row>
    <row r="101" spans="2:7" x14ac:dyDescent="0.3">
      <c r="B101" s="9" t="s">
        <v>207</v>
      </c>
      <c r="C101" s="9">
        <v>929</v>
      </c>
      <c r="D101" s="9">
        <v>5145</v>
      </c>
      <c r="E101" s="9">
        <v>0</v>
      </c>
      <c r="F101" s="9">
        <v>0</v>
      </c>
      <c r="G101" s="9">
        <f t="shared" si="1"/>
        <v>6074</v>
      </c>
    </row>
    <row r="102" spans="2:7" x14ac:dyDescent="0.3">
      <c r="B102" s="9" t="s">
        <v>46</v>
      </c>
      <c r="C102" s="9">
        <v>61252</v>
      </c>
      <c r="D102" s="9">
        <v>436</v>
      </c>
      <c r="E102" s="9">
        <v>59</v>
      </c>
      <c r="F102" s="9">
        <v>0</v>
      </c>
      <c r="G102" s="9">
        <f t="shared" si="1"/>
        <v>61747</v>
      </c>
    </row>
    <row r="103" spans="2:7" x14ac:dyDescent="0.3">
      <c r="B103" s="9" t="s">
        <v>47</v>
      </c>
      <c r="C103" s="9">
        <v>87</v>
      </c>
      <c r="D103" s="9">
        <v>207</v>
      </c>
      <c r="E103" s="9">
        <v>0</v>
      </c>
      <c r="F103" s="9">
        <v>125</v>
      </c>
      <c r="G103" s="9">
        <f t="shared" si="1"/>
        <v>419</v>
      </c>
    </row>
    <row r="104" spans="2:7" x14ac:dyDescent="0.3">
      <c r="B104" s="9" t="s">
        <v>48</v>
      </c>
      <c r="C104" s="9">
        <v>263</v>
      </c>
      <c r="D104" s="9">
        <v>774</v>
      </c>
      <c r="E104" s="9">
        <v>0</v>
      </c>
      <c r="F104" s="9">
        <v>351</v>
      </c>
      <c r="G104" s="9">
        <f t="shared" si="1"/>
        <v>1388</v>
      </c>
    </row>
    <row r="105" spans="2:7" x14ac:dyDescent="0.3">
      <c r="B105" s="9" t="s">
        <v>49</v>
      </c>
      <c r="C105" s="9">
        <v>85</v>
      </c>
      <c r="D105" s="9">
        <v>34</v>
      </c>
      <c r="E105" s="9">
        <v>0</v>
      </c>
      <c r="F105" s="9">
        <v>0</v>
      </c>
      <c r="G105" s="9">
        <f t="shared" si="1"/>
        <v>119</v>
      </c>
    </row>
    <row r="106" spans="2:7" x14ac:dyDescent="0.3">
      <c r="B106" s="9" t="s">
        <v>208</v>
      </c>
      <c r="C106" s="9">
        <v>6</v>
      </c>
      <c r="D106" s="9">
        <v>18</v>
      </c>
      <c r="E106" s="9">
        <v>0</v>
      </c>
      <c r="F106" s="9">
        <v>0</v>
      </c>
      <c r="G106" s="9">
        <f t="shared" si="1"/>
        <v>24</v>
      </c>
    </row>
    <row r="107" spans="2:7" x14ac:dyDescent="0.3">
      <c r="B107" s="9" t="s">
        <v>50</v>
      </c>
      <c r="C107" s="9">
        <v>583</v>
      </c>
      <c r="D107" s="9">
        <v>693</v>
      </c>
      <c r="E107" s="9">
        <v>0</v>
      </c>
      <c r="F107" s="9">
        <v>0</v>
      </c>
      <c r="G107" s="9">
        <f t="shared" si="1"/>
        <v>1276</v>
      </c>
    </row>
    <row r="108" spans="2:7" x14ac:dyDescent="0.3">
      <c r="B108" s="9" t="s">
        <v>51</v>
      </c>
      <c r="C108" s="9">
        <v>5511</v>
      </c>
      <c r="D108" s="9">
        <v>5329</v>
      </c>
      <c r="E108" s="9">
        <v>0</v>
      </c>
      <c r="F108" s="9">
        <v>49</v>
      </c>
      <c r="G108" s="9">
        <f t="shared" si="1"/>
        <v>10889</v>
      </c>
    </row>
    <row r="109" spans="2:7" x14ac:dyDescent="0.3">
      <c r="B109" s="9" t="s">
        <v>52</v>
      </c>
      <c r="C109" s="9">
        <v>103</v>
      </c>
      <c r="D109" s="9">
        <v>87</v>
      </c>
      <c r="E109" s="9">
        <v>0</v>
      </c>
      <c r="F109" s="9">
        <v>0</v>
      </c>
      <c r="G109" s="9">
        <f t="shared" si="1"/>
        <v>190</v>
      </c>
    </row>
    <row r="110" spans="2:7" x14ac:dyDescent="0.3">
      <c r="B110" s="9" t="s">
        <v>53</v>
      </c>
      <c r="C110" s="9">
        <v>1692</v>
      </c>
      <c r="D110" s="9">
        <v>979</v>
      </c>
      <c r="E110" s="9">
        <v>0</v>
      </c>
      <c r="F110" s="9">
        <v>0</v>
      </c>
      <c r="G110" s="9">
        <f t="shared" si="1"/>
        <v>2671</v>
      </c>
    </row>
    <row r="111" spans="2:7" x14ac:dyDescent="0.3">
      <c r="B111" s="9" t="s">
        <v>54</v>
      </c>
      <c r="C111" s="9">
        <v>4481</v>
      </c>
      <c r="D111" s="9">
        <v>1101</v>
      </c>
      <c r="E111" s="9">
        <v>0</v>
      </c>
      <c r="F111" s="9">
        <v>0</v>
      </c>
      <c r="G111" s="9">
        <f t="shared" si="1"/>
        <v>5582</v>
      </c>
    </row>
    <row r="112" spans="2:7" x14ac:dyDescent="0.3">
      <c r="B112" s="9" t="s">
        <v>55</v>
      </c>
      <c r="C112" s="9">
        <v>0</v>
      </c>
      <c r="D112" s="9">
        <v>0</v>
      </c>
      <c r="E112" s="9">
        <v>0</v>
      </c>
      <c r="F112" s="9">
        <v>0</v>
      </c>
      <c r="G112" s="9">
        <f t="shared" si="1"/>
        <v>0</v>
      </c>
    </row>
    <row r="113" spans="2:7" x14ac:dyDescent="0.3">
      <c r="B113" s="9" t="s">
        <v>209</v>
      </c>
      <c r="C113" s="9">
        <v>79</v>
      </c>
      <c r="D113" s="9">
        <v>0</v>
      </c>
      <c r="E113" s="9">
        <v>0</v>
      </c>
      <c r="F113" s="9">
        <v>0</v>
      </c>
      <c r="G113" s="9">
        <f t="shared" si="1"/>
        <v>79</v>
      </c>
    </row>
    <row r="114" spans="2:7" x14ac:dyDescent="0.3">
      <c r="B114" s="9" t="s">
        <v>56</v>
      </c>
      <c r="C114" s="9">
        <v>97</v>
      </c>
      <c r="D114" s="9">
        <v>0</v>
      </c>
      <c r="E114" s="9">
        <v>0</v>
      </c>
      <c r="F114" s="9">
        <v>1223</v>
      </c>
      <c r="G114" s="9">
        <f t="shared" si="1"/>
        <v>1320</v>
      </c>
    </row>
    <row r="115" spans="2:7" x14ac:dyDescent="0.3">
      <c r="B115" s="9" t="s">
        <v>57</v>
      </c>
      <c r="C115" s="9">
        <v>44</v>
      </c>
      <c r="D115" s="9">
        <v>0</v>
      </c>
      <c r="E115" s="9">
        <v>0</v>
      </c>
      <c r="F115" s="9">
        <v>0</v>
      </c>
      <c r="G115" s="9">
        <f t="shared" si="1"/>
        <v>44</v>
      </c>
    </row>
    <row r="116" spans="2:7" x14ac:dyDescent="0.3">
      <c r="B116" s="9" t="s">
        <v>210</v>
      </c>
      <c r="C116" s="9">
        <v>0</v>
      </c>
      <c r="D116" s="9">
        <v>0</v>
      </c>
      <c r="E116" s="9">
        <v>0</v>
      </c>
      <c r="F116" s="9">
        <v>0</v>
      </c>
      <c r="G116" s="9">
        <f t="shared" si="1"/>
        <v>0</v>
      </c>
    </row>
    <row r="117" spans="2:7" x14ac:dyDescent="0.3">
      <c r="B117" s="9" t="s">
        <v>58</v>
      </c>
      <c r="C117" s="9">
        <v>6</v>
      </c>
      <c r="D117" s="9">
        <v>0</v>
      </c>
      <c r="E117" s="9">
        <v>0</v>
      </c>
      <c r="F117" s="9">
        <v>0</v>
      </c>
      <c r="G117" s="9">
        <f t="shared" si="1"/>
        <v>6</v>
      </c>
    </row>
    <row r="118" spans="2:7" x14ac:dyDescent="0.3">
      <c r="B118" s="9" t="s">
        <v>211</v>
      </c>
      <c r="C118" s="9">
        <v>3</v>
      </c>
      <c r="D118" s="9">
        <v>0</v>
      </c>
      <c r="E118" s="9">
        <v>0</v>
      </c>
      <c r="F118" s="9">
        <v>0</v>
      </c>
      <c r="G118" s="9">
        <f t="shared" si="1"/>
        <v>3</v>
      </c>
    </row>
    <row r="119" spans="2:7" x14ac:dyDescent="0.3">
      <c r="B119" s="9" t="s">
        <v>212</v>
      </c>
      <c r="C119" s="9">
        <v>0</v>
      </c>
      <c r="D119" s="9">
        <v>0</v>
      </c>
      <c r="E119" s="9">
        <v>0</v>
      </c>
      <c r="F119" s="9">
        <v>0</v>
      </c>
      <c r="G119" s="9">
        <f t="shared" si="1"/>
        <v>0</v>
      </c>
    </row>
    <row r="120" spans="2:7" x14ac:dyDescent="0.3">
      <c r="B120" s="9" t="s">
        <v>213</v>
      </c>
      <c r="C120" s="9">
        <v>0</v>
      </c>
      <c r="D120" s="9">
        <v>0</v>
      </c>
      <c r="E120" s="9">
        <v>0</v>
      </c>
      <c r="F120" s="9">
        <v>0</v>
      </c>
      <c r="G120" s="9">
        <f t="shared" si="1"/>
        <v>0</v>
      </c>
    </row>
    <row r="121" spans="2:7" x14ac:dyDescent="0.3">
      <c r="B121" s="9" t="s">
        <v>59</v>
      </c>
      <c r="C121" s="9">
        <v>0</v>
      </c>
      <c r="D121" s="9">
        <v>0</v>
      </c>
      <c r="E121" s="9">
        <v>0</v>
      </c>
      <c r="F121" s="9">
        <v>0</v>
      </c>
      <c r="G121" s="9">
        <f t="shared" si="1"/>
        <v>0</v>
      </c>
    </row>
    <row r="122" spans="2:7" x14ac:dyDescent="0.3">
      <c r="B122" s="9" t="s">
        <v>214</v>
      </c>
      <c r="C122" s="9">
        <v>53</v>
      </c>
      <c r="D122" s="9">
        <v>1964</v>
      </c>
      <c r="E122" s="9">
        <v>0</v>
      </c>
      <c r="F122" s="9">
        <v>10</v>
      </c>
      <c r="G122" s="9">
        <f t="shared" si="1"/>
        <v>2027</v>
      </c>
    </row>
    <row r="123" spans="2:7" x14ac:dyDescent="0.3">
      <c r="B123" s="9" t="s">
        <v>60</v>
      </c>
      <c r="C123" s="9">
        <v>10912</v>
      </c>
      <c r="D123" s="9">
        <v>7539</v>
      </c>
      <c r="E123" s="9">
        <v>0</v>
      </c>
      <c r="F123" s="9">
        <v>0</v>
      </c>
      <c r="G123" s="9">
        <f t="shared" si="1"/>
        <v>18451</v>
      </c>
    </row>
    <row r="124" spans="2:7" x14ac:dyDescent="0.3">
      <c r="B124" s="9" t="s">
        <v>61</v>
      </c>
      <c r="C124" s="9">
        <v>80</v>
      </c>
      <c r="D124" s="9">
        <v>0</v>
      </c>
      <c r="E124" s="9">
        <v>0</v>
      </c>
      <c r="F124" s="9">
        <v>0</v>
      </c>
      <c r="G124" s="9">
        <f>SUM(C132:F132)</f>
        <v>23398</v>
      </c>
    </row>
    <row r="125" spans="2:7" x14ac:dyDescent="0.3">
      <c r="B125" s="9" t="s">
        <v>78</v>
      </c>
      <c r="C125" s="9">
        <v>1681</v>
      </c>
      <c r="D125" s="9">
        <v>5235</v>
      </c>
      <c r="E125" s="9">
        <v>685</v>
      </c>
      <c r="F125" s="9">
        <v>7</v>
      </c>
      <c r="G125" s="9">
        <f t="shared" ref="G125:G130" si="2">SUM(C124:F124)</f>
        <v>80</v>
      </c>
    </row>
    <row r="126" spans="2:7" x14ac:dyDescent="0.3">
      <c r="B126" s="9" t="s">
        <v>62</v>
      </c>
      <c r="C126" s="9">
        <v>95</v>
      </c>
      <c r="D126" s="9">
        <v>91</v>
      </c>
      <c r="E126" s="9">
        <v>83</v>
      </c>
      <c r="F126" s="9">
        <v>0</v>
      </c>
      <c r="G126" s="9">
        <f t="shared" si="2"/>
        <v>7608</v>
      </c>
    </row>
    <row r="127" spans="2:7" x14ac:dyDescent="0.3">
      <c r="B127" s="9" t="s">
        <v>314</v>
      </c>
      <c r="C127" s="9">
        <v>0</v>
      </c>
      <c r="D127" s="9">
        <v>2632</v>
      </c>
      <c r="E127" s="9">
        <v>0</v>
      </c>
      <c r="F127" s="9">
        <v>0</v>
      </c>
      <c r="G127" s="9">
        <f t="shared" si="2"/>
        <v>269</v>
      </c>
    </row>
    <row r="128" spans="2:7" x14ac:dyDescent="0.3">
      <c r="B128" s="9" t="s">
        <v>79</v>
      </c>
      <c r="C128" s="9">
        <v>4304</v>
      </c>
      <c r="D128" s="9">
        <v>1194</v>
      </c>
      <c r="E128" s="9">
        <v>1875</v>
      </c>
      <c r="F128" s="9">
        <v>559</v>
      </c>
      <c r="G128" s="9">
        <f t="shared" si="2"/>
        <v>2632</v>
      </c>
    </row>
    <row r="129" spans="2:7" x14ac:dyDescent="0.3">
      <c r="B129" s="9" t="s">
        <v>215</v>
      </c>
      <c r="C129" s="9">
        <v>2421</v>
      </c>
      <c r="D129" s="9">
        <v>1214</v>
      </c>
      <c r="E129" s="9">
        <v>0</v>
      </c>
      <c r="F129" s="9">
        <v>0</v>
      </c>
      <c r="G129" s="9">
        <f t="shared" si="2"/>
        <v>7932</v>
      </c>
    </row>
    <row r="130" spans="2:7" x14ac:dyDescent="0.3">
      <c r="B130" s="9" t="s">
        <v>63</v>
      </c>
      <c r="C130" s="9">
        <v>146757</v>
      </c>
      <c r="D130" s="9">
        <v>8185</v>
      </c>
      <c r="E130" s="9">
        <v>0</v>
      </c>
      <c r="F130" s="9">
        <v>60</v>
      </c>
      <c r="G130" s="9">
        <f t="shared" si="2"/>
        <v>3635</v>
      </c>
    </row>
    <row r="131" spans="2:7" x14ac:dyDescent="0.3">
      <c r="B131" s="9" t="s">
        <v>216</v>
      </c>
      <c r="C131" s="9">
        <v>680</v>
      </c>
      <c r="D131" s="9">
        <v>274</v>
      </c>
      <c r="E131" s="9">
        <v>0</v>
      </c>
      <c r="F131" s="9">
        <v>0</v>
      </c>
      <c r="G131" s="9">
        <f>SUM(C133:F133)</f>
        <v>500</v>
      </c>
    </row>
    <row r="132" spans="2:7" x14ac:dyDescent="0.3">
      <c r="B132" s="9" t="s">
        <v>64</v>
      </c>
      <c r="C132" s="9">
        <v>19294</v>
      </c>
      <c r="D132" s="9">
        <v>4104</v>
      </c>
      <c r="E132" s="9">
        <v>0</v>
      </c>
      <c r="F132" s="9">
        <v>0</v>
      </c>
      <c r="G132" s="9">
        <f>SUM(C134:F134)</f>
        <v>41581</v>
      </c>
    </row>
    <row r="133" spans="2:7" x14ac:dyDescent="0.3">
      <c r="B133" s="9" t="s">
        <v>65</v>
      </c>
      <c r="C133" s="9">
        <v>500</v>
      </c>
      <c r="D133" s="9">
        <v>0</v>
      </c>
      <c r="E133" s="9">
        <v>0</v>
      </c>
      <c r="F133" s="9">
        <v>0</v>
      </c>
      <c r="G133" s="9">
        <f>SUM(C135:F135)</f>
        <v>56</v>
      </c>
    </row>
    <row r="134" spans="2:7" x14ac:dyDescent="0.3">
      <c r="B134" s="9" t="s">
        <v>217</v>
      </c>
      <c r="C134" s="9">
        <v>26431</v>
      </c>
      <c r="D134" s="9">
        <v>10797</v>
      </c>
      <c r="E134" s="9">
        <v>30</v>
      </c>
      <c r="F134" s="9">
        <v>4323</v>
      </c>
      <c r="G134" s="9">
        <f>SUM(C130:F130)</f>
        <v>155002</v>
      </c>
    </row>
    <row r="135" spans="2:7" ht="15" thickBot="1" x14ac:dyDescent="0.35">
      <c r="B135" s="28" t="s">
        <v>66</v>
      </c>
      <c r="C135" s="28">
        <v>56</v>
      </c>
      <c r="D135" s="28">
        <v>0</v>
      </c>
      <c r="E135" s="28">
        <v>0</v>
      </c>
      <c r="F135" s="28">
        <v>0</v>
      </c>
      <c r="G135" s="28">
        <f>SUM(C131:F131)</f>
        <v>954</v>
      </c>
    </row>
    <row r="136" spans="2:7" x14ac:dyDescent="0.3">
      <c r="B136" s="27" t="s">
        <v>180</v>
      </c>
      <c r="C136" s="27">
        <f>SUM(C95:C135)</f>
        <v>1729314</v>
      </c>
      <c r="D136" s="27">
        <f>SUM(D95:D135)</f>
        <v>60548</v>
      </c>
      <c r="E136" s="27">
        <f>SUM(E95:E135)</f>
        <v>4024</v>
      </c>
      <c r="F136" s="27">
        <f>SUM(F95:F135)</f>
        <v>17980</v>
      </c>
      <c r="G136" s="27">
        <f>SUM(G95:G135)</f>
        <v>1811866</v>
      </c>
    </row>
    <row r="137" spans="2:7" x14ac:dyDescent="0.3">
      <c r="B137" s="15"/>
      <c r="C137" s="15"/>
      <c r="D137" s="15"/>
      <c r="E137" s="15"/>
      <c r="F137" s="15"/>
      <c r="G137" s="15"/>
    </row>
    <row r="138" spans="2:7" x14ac:dyDescent="0.3">
      <c r="B138" s="11" t="s">
        <v>191</v>
      </c>
      <c r="C138" s="52"/>
      <c r="D138" s="53"/>
      <c r="E138" s="53"/>
      <c r="F138" s="53"/>
      <c r="G138" s="54"/>
    </row>
    <row r="139" spans="2:7" x14ac:dyDescent="0.3">
      <c r="B139" s="11" t="s">
        <v>221</v>
      </c>
      <c r="C139" s="11" t="s">
        <v>181</v>
      </c>
      <c r="D139" s="12"/>
      <c r="E139" s="12"/>
      <c r="F139" s="12"/>
      <c r="G139" s="13" t="s">
        <v>224</v>
      </c>
    </row>
    <row r="140" spans="2:7" x14ac:dyDescent="0.3">
      <c r="B140" s="11" t="s">
        <v>1</v>
      </c>
      <c r="C140" s="61" t="s">
        <v>92</v>
      </c>
      <c r="D140" s="61"/>
      <c r="E140" s="61"/>
      <c r="F140" s="61"/>
      <c r="G140" s="13"/>
    </row>
    <row r="141" spans="2:7" ht="60" customHeight="1" x14ac:dyDescent="0.3">
      <c r="B141" s="11"/>
      <c r="C141" s="17" t="s">
        <v>93</v>
      </c>
      <c r="D141" s="17" t="s">
        <v>94</v>
      </c>
      <c r="E141" s="17" t="s">
        <v>95</v>
      </c>
      <c r="F141" s="17" t="s">
        <v>96</v>
      </c>
      <c r="G141" s="17"/>
    </row>
    <row r="142" spans="2:7" x14ac:dyDescent="0.3">
      <c r="B142" s="9" t="s">
        <v>163</v>
      </c>
      <c r="C142" s="9">
        <v>1528776</v>
      </c>
      <c r="D142" s="9">
        <v>32057</v>
      </c>
      <c r="E142" s="9">
        <v>2036</v>
      </c>
      <c r="F142" s="9">
        <v>13038</v>
      </c>
      <c r="G142" s="9">
        <f>SUM(C142:F142)</f>
        <v>1575907</v>
      </c>
    </row>
    <row r="143" spans="2:7" x14ac:dyDescent="0.3">
      <c r="B143" s="9" t="s">
        <v>164</v>
      </c>
      <c r="C143" s="9">
        <v>200482</v>
      </c>
      <c r="D143" s="9">
        <v>28491</v>
      </c>
      <c r="E143" s="9">
        <v>1988</v>
      </c>
      <c r="F143" s="9">
        <v>4942</v>
      </c>
      <c r="G143" s="9">
        <f>SUM(C143:F143)</f>
        <v>235903</v>
      </c>
    </row>
    <row r="144" spans="2:7" ht="15" thickBot="1" x14ac:dyDescent="0.35">
      <c r="B144" s="28" t="s">
        <v>165</v>
      </c>
      <c r="C144" s="28">
        <v>56</v>
      </c>
      <c r="D144" s="28">
        <v>0</v>
      </c>
      <c r="E144" s="28">
        <v>0</v>
      </c>
      <c r="F144" s="28">
        <v>0</v>
      </c>
      <c r="G144" s="28">
        <f>SUM(C144:F144)</f>
        <v>56</v>
      </c>
    </row>
    <row r="145" spans="2:7" x14ac:dyDescent="0.3">
      <c r="B145" s="27" t="s">
        <v>180</v>
      </c>
      <c r="C145" s="27">
        <f>SUM(C142:C144)</f>
        <v>1729314</v>
      </c>
      <c r="D145" s="27">
        <f>SUM(D142:D144)</f>
        <v>60548</v>
      </c>
      <c r="E145" s="27">
        <f>SUM(E142:E144)</f>
        <v>4024</v>
      </c>
      <c r="F145" s="27">
        <f>SUM(F142:F144)</f>
        <v>17980</v>
      </c>
      <c r="G145" s="27">
        <f>SUM(G142:G144)</f>
        <v>1811866</v>
      </c>
    </row>
    <row r="147" spans="2:7" x14ac:dyDescent="0.3">
      <c r="B147" s="11" t="s">
        <v>222</v>
      </c>
      <c r="C147" s="11" t="s">
        <v>181</v>
      </c>
      <c r="D147" s="12"/>
      <c r="E147" s="12"/>
      <c r="F147" s="12"/>
      <c r="G147" s="13" t="s">
        <v>224</v>
      </c>
    </row>
    <row r="148" spans="2:7" x14ac:dyDescent="0.3">
      <c r="B148" s="11" t="s">
        <v>1</v>
      </c>
      <c r="C148" s="61" t="s">
        <v>92</v>
      </c>
      <c r="D148" s="61"/>
      <c r="E148" s="61"/>
      <c r="F148" s="61"/>
      <c r="G148" s="13"/>
    </row>
    <row r="149" spans="2:7" ht="61.5" customHeight="1" x14ac:dyDescent="0.3">
      <c r="B149" s="11"/>
      <c r="C149" s="17" t="s">
        <v>93</v>
      </c>
      <c r="D149" s="17" t="s">
        <v>94</v>
      </c>
      <c r="E149" s="17" t="s">
        <v>95</v>
      </c>
      <c r="F149" s="17" t="s">
        <v>96</v>
      </c>
      <c r="G149" s="17"/>
    </row>
    <row r="150" spans="2:7" x14ac:dyDescent="0.3">
      <c r="B150" s="9" t="s">
        <v>80</v>
      </c>
      <c r="C150" s="9">
        <v>1516103</v>
      </c>
      <c r="D150" s="9">
        <v>19283</v>
      </c>
      <c r="E150" s="9">
        <v>1351</v>
      </c>
      <c r="F150" s="9">
        <v>13031</v>
      </c>
      <c r="G150" s="9">
        <f t="shared" ref="G150:G155" si="3">SUM(C150:F150)</f>
        <v>1549768</v>
      </c>
    </row>
    <row r="151" spans="2:7" x14ac:dyDescent="0.3">
      <c r="B151" s="9" t="s">
        <v>3</v>
      </c>
      <c r="C151" s="9">
        <v>193662</v>
      </c>
      <c r="D151" s="9">
        <v>23360</v>
      </c>
      <c r="E151" s="9">
        <v>30</v>
      </c>
      <c r="F151" s="9">
        <v>4383</v>
      </c>
      <c r="G151" s="9">
        <f t="shared" si="3"/>
        <v>221435</v>
      </c>
    </row>
    <row r="152" spans="2:7" x14ac:dyDescent="0.3">
      <c r="B152" s="9" t="s">
        <v>2</v>
      </c>
      <c r="C152" s="9">
        <v>12673</v>
      </c>
      <c r="D152" s="9">
        <v>12774</v>
      </c>
      <c r="E152" s="9">
        <v>685</v>
      </c>
      <c r="F152" s="9">
        <v>7</v>
      </c>
      <c r="G152" s="9">
        <f t="shared" si="3"/>
        <v>26139</v>
      </c>
    </row>
    <row r="153" spans="2:7" x14ac:dyDescent="0.3">
      <c r="B153" s="9" t="s">
        <v>167</v>
      </c>
      <c r="C153" s="9">
        <v>6725</v>
      </c>
      <c r="D153" s="9">
        <v>5040</v>
      </c>
      <c r="E153" s="9">
        <v>1875</v>
      </c>
      <c r="F153" s="9">
        <v>559</v>
      </c>
      <c r="G153" s="9">
        <f t="shared" si="3"/>
        <v>14199</v>
      </c>
    </row>
    <row r="154" spans="2:7" x14ac:dyDescent="0.3">
      <c r="B154" s="9" t="s">
        <v>62</v>
      </c>
      <c r="C154" s="9">
        <v>95</v>
      </c>
      <c r="D154" s="9">
        <v>91</v>
      </c>
      <c r="E154" s="9">
        <v>83</v>
      </c>
      <c r="F154" s="9">
        <v>0</v>
      </c>
      <c r="G154" s="9">
        <f t="shared" si="3"/>
        <v>269</v>
      </c>
    </row>
    <row r="155" spans="2:7" ht="15" thickBot="1" x14ac:dyDescent="0.35">
      <c r="B155" s="28" t="s">
        <v>66</v>
      </c>
      <c r="C155" s="28">
        <v>56</v>
      </c>
      <c r="D155" s="28">
        <v>0</v>
      </c>
      <c r="E155" s="28">
        <v>0</v>
      </c>
      <c r="F155" s="28">
        <v>0</v>
      </c>
      <c r="G155" s="28">
        <f t="shared" si="3"/>
        <v>56</v>
      </c>
    </row>
    <row r="156" spans="2:7" x14ac:dyDescent="0.3">
      <c r="B156" s="27" t="s">
        <v>180</v>
      </c>
      <c r="C156" s="27">
        <f>SUM(C150:C155)</f>
        <v>1729314</v>
      </c>
      <c r="D156" s="27">
        <f>SUM(D150:D155)</f>
        <v>60548</v>
      </c>
      <c r="E156" s="27">
        <f>SUM(E150:E155)</f>
        <v>4024</v>
      </c>
      <c r="F156" s="27">
        <f>SUM(F150:F155)</f>
        <v>17980</v>
      </c>
      <c r="G156" s="27">
        <f>SUM(G150:G155)</f>
        <v>1811866</v>
      </c>
    </row>
    <row r="158" spans="2:7" x14ac:dyDescent="0.3">
      <c r="B158" s="11" t="s">
        <v>223</v>
      </c>
      <c r="C158" s="11" t="s">
        <v>181</v>
      </c>
      <c r="D158" s="12"/>
      <c r="E158" s="12"/>
      <c r="F158" s="12"/>
      <c r="G158" s="13" t="s">
        <v>224</v>
      </c>
    </row>
    <row r="159" spans="2:7" x14ac:dyDescent="0.3">
      <c r="B159" s="11" t="s">
        <v>1</v>
      </c>
      <c r="C159" s="61" t="s">
        <v>92</v>
      </c>
      <c r="D159" s="61"/>
      <c r="E159" s="61"/>
      <c r="F159" s="61"/>
      <c r="G159" s="13"/>
    </row>
    <row r="160" spans="2:7" ht="61.5" customHeight="1" x14ac:dyDescent="0.3">
      <c r="B160" s="11"/>
      <c r="C160" s="17" t="s">
        <v>93</v>
      </c>
      <c r="D160" s="17" t="s">
        <v>94</v>
      </c>
      <c r="E160" s="17" t="s">
        <v>95</v>
      </c>
      <c r="F160" s="17" t="s">
        <v>96</v>
      </c>
      <c r="G160" s="17"/>
    </row>
    <row r="161" spans="2:7" x14ac:dyDescent="0.3">
      <c r="B161" s="9" t="s">
        <v>97</v>
      </c>
      <c r="C161" s="9">
        <v>1441758</v>
      </c>
      <c r="D161" s="9">
        <v>7661</v>
      </c>
      <c r="E161" s="9">
        <v>1292</v>
      </c>
      <c r="F161" s="9">
        <v>11273</v>
      </c>
      <c r="G161" s="9">
        <f t="shared" ref="G161:G167" si="4">SUM(C161:F161)</f>
        <v>1461984</v>
      </c>
    </row>
    <row r="162" spans="2:7" x14ac:dyDescent="0.3">
      <c r="B162" s="9" t="s">
        <v>46</v>
      </c>
      <c r="C162" s="9">
        <v>61252</v>
      </c>
      <c r="D162" s="9">
        <v>436</v>
      </c>
      <c r="E162" s="9">
        <v>59</v>
      </c>
      <c r="F162" s="9">
        <v>0</v>
      </c>
      <c r="G162" s="9">
        <f t="shared" si="4"/>
        <v>61747</v>
      </c>
    </row>
    <row r="163" spans="2:7" x14ac:dyDescent="0.3">
      <c r="B163" s="9" t="s">
        <v>98</v>
      </c>
      <c r="C163" s="9">
        <v>441</v>
      </c>
      <c r="D163" s="9">
        <v>1033</v>
      </c>
      <c r="E163" s="9">
        <v>0</v>
      </c>
      <c r="F163" s="9">
        <v>476</v>
      </c>
      <c r="G163" s="9">
        <f t="shared" si="4"/>
        <v>1950</v>
      </c>
    </row>
    <row r="164" spans="2:7" x14ac:dyDescent="0.3">
      <c r="B164" s="9" t="s">
        <v>86</v>
      </c>
      <c r="C164" s="9">
        <v>583</v>
      </c>
      <c r="D164" s="9">
        <v>693</v>
      </c>
      <c r="E164" s="9">
        <v>0</v>
      </c>
      <c r="F164" s="9">
        <v>0</v>
      </c>
      <c r="G164" s="9">
        <f t="shared" si="4"/>
        <v>1276</v>
      </c>
    </row>
    <row r="165" spans="2:7" x14ac:dyDescent="0.3">
      <c r="B165" s="9" t="s">
        <v>87</v>
      </c>
      <c r="C165" s="9">
        <v>11787</v>
      </c>
      <c r="D165" s="9">
        <v>7496</v>
      </c>
      <c r="E165" s="9">
        <v>0</v>
      </c>
      <c r="F165" s="9">
        <v>49</v>
      </c>
      <c r="G165" s="9">
        <f t="shared" si="4"/>
        <v>19332</v>
      </c>
    </row>
    <row r="166" spans="2:7" x14ac:dyDescent="0.3">
      <c r="B166" s="9" t="s">
        <v>313</v>
      </c>
      <c r="C166" s="9">
        <v>229</v>
      </c>
      <c r="D166" s="9">
        <v>0</v>
      </c>
      <c r="E166" s="9">
        <v>0</v>
      </c>
      <c r="F166" s="9">
        <v>1223</v>
      </c>
      <c r="G166" s="9">
        <f t="shared" si="4"/>
        <v>1452</v>
      </c>
    </row>
    <row r="167" spans="2:7" ht="15" thickBot="1" x14ac:dyDescent="0.35">
      <c r="B167" s="28" t="s">
        <v>77</v>
      </c>
      <c r="C167" s="28">
        <v>53</v>
      </c>
      <c r="D167" s="28">
        <v>1964</v>
      </c>
      <c r="E167" s="28">
        <v>0</v>
      </c>
      <c r="F167" s="28">
        <v>10</v>
      </c>
      <c r="G167" s="28">
        <f t="shared" si="4"/>
        <v>2027</v>
      </c>
    </row>
    <row r="168" spans="2:7" x14ac:dyDescent="0.3">
      <c r="B168" s="27" t="s">
        <v>180</v>
      </c>
      <c r="C168" s="27">
        <f>SUM(C161:C167)</f>
        <v>1516103</v>
      </c>
      <c r="D168" s="27">
        <f>SUM(D161:D167)</f>
        <v>19283</v>
      </c>
      <c r="E168" s="27">
        <f>SUM(E161:E167)</f>
        <v>1351</v>
      </c>
      <c r="F168" s="27">
        <f>SUM(F161:F167)</f>
        <v>13031</v>
      </c>
      <c r="G168" s="27">
        <f>SUM(G161:G167)</f>
        <v>1549768</v>
      </c>
    </row>
    <row r="171" spans="2:7" ht="15.6" x14ac:dyDescent="0.3">
      <c r="B171" s="50" t="s">
        <v>182</v>
      </c>
      <c r="C171" s="51"/>
      <c r="D171" s="51"/>
    </row>
    <row r="173" spans="2:7" x14ac:dyDescent="0.3">
      <c r="B173" s="11" t="s">
        <v>183</v>
      </c>
      <c r="C173" s="12"/>
      <c r="D173" s="12"/>
    </row>
    <row r="174" spans="2:7" x14ac:dyDescent="0.3">
      <c r="B174" s="12"/>
      <c r="C174" s="12"/>
      <c r="D174" s="12"/>
    </row>
    <row r="175" spans="2:7" x14ac:dyDescent="0.3">
      <c r="B175" s="11" t="s">
        <v>168</v>
      </c>
      <c r="C175" s="11" t="s">
        <v>181</v>
      </c>
      <c r="D175" s="13" t="s">
        <v>81</v>
      </c>
    </row>
    <row r="176" spans="2:7" x14ac:dyDescent="0.3">
      <c r="B176" s="9" t="s">
        <v>32</v>
      </c>
      <c r="C176" s="9">
        <v>0</v>
      </c>
      <c r="D176" s="10">
        <f>C176/C179</f>
        <v>0</v>
      </c>
    </row>
    <row r="177" spans="2:6" x14ac:dyDescent="0.3">
      <c r="B177" s="9" t="s">
        <v>33</v>
      </c>
      <c r="C177" s="9">
        <v>124</v>
      </c>
      <c r="D177" s="10">
        <f>C177/C179</f>
        <v>8.5399449035812675E-2</v>
      </c>
    </row>
    <row r="178" spans="2:6" ht="15" thickBot="1" x14ac:dyDescent="0.35">
      <c r="B178" s="28" t="s">
        <v>301</v>
      </c>
      <c r="C178" s="28">
        <v>1328</v>
      </c>
      <c r="D178" s="32">
        <f>C178/C179</f>
        <v>0.91460055096418735</v>
      </c>
    </row>
    <row r="179" spans="2:6" x14ac:dyDescent="0.3">
      <c r="B179" s="27" t="s">
        <v>180</v>
      </c>
      <c r="C179" s="27">
        <f>SUM(C176:C178)</f>
        <v>1452</v>
      </c>
      <c r="D179" s="31">
        <f>C179/C179</f>
        <v>1</v>
      </c>
    </row>
    <row r="180" spans="2:6" x14ac:dyDescent="0.3">
      <c r="B180" s="9"/>
      <c r="C180" s="9"/>
      <c r="D180" s="9"/>
    </row>
    <row r="181" spans="2:6" x14ac:dyDescent="0.3">
      <c r="B181" s="8" t="s">
        <v>170</v>
      </c>
      <c r="C181" s="8">
        <v>1431</v>
      </c>
      <c r="D181" s="14">
        <f>C181/C179</f>
        <v>0.98553719008264462</v>
      </c>
    </row>
    <row r="183" spans="2:6" x14ac:dyDescent="0.3">
      <c r="B183" s="11" t="s">
        <v>184</v>
      </c>
      <c r="C183" s="12"/>
      <c r="D183" s="12"/>
    </row>
    <row r="184" spans="2:6" x14ac:dyDescent="0.3">
      <c r="B184" s="12"/>
      <c r="C184" s="12"/>
      <c r="D184" s="12"/>
    </row>
    <row r="185" spans="2:6" s="1" customFormat="1" x14ac:dyDescent="0.3">
      <c r="B185" s="11" t="s">
        <v>169</v>
      </c>
      <c r="C185" s="11" t="s">
        <v>181</v>
      </c>
      <c r="D185" s="13" t="s">
        <v>81</v>
      </c>
      <c r="E185" s="15"/>
      <c r="F185" s="15"/>
    </row>
    <row r="186" spans="2:6" x14ac:dyDescent="0.3">
      <c r="B186" s="9" t="s">
        <v>99</v>
      </c>
      <c r="C186" s="9">
        <v>229</v>
      </c>
      <c r="D186" s="10">
        <f>C186/C192</f>
        <v>0.15771349862258954</v>
      </c>
      <c r="E186" s="18"/>
      <c r="F186" s="19"/>
    </row>
    <row r="187" spans="2:6" x14ac:dyDescent="0.3">
      <c r="B187" s="9" t="s">
        <v>100</v>
      </c>
      <c r="C187" s="9">
        <v>0</v>
      </c>
      <c r="D187" s="10">
        <f>C187/C192</f>
        <v>0</v>
      </c>
      <c r="E187" s="18"/>
      <c r="F187" s="19"/>
    </row>
    <row r="188" spans="2:6" x14ac:dyDescent="0.3">
      <c r="B188" s="9" t="s">
        <v>101</v>
      </c>
      <c r="C188" s="9">
        <v>736</v>
      </c>
      <c r="D188" s="10">
        <f>C188/C192</f>
        <v>0.50688705234159781</v>
      </c>
      <c r="E188" s="18"/>
      <c r="F188" s="19"/>
    </row>
    <row r="189" spans="2:6" x14ac:dyDescent="0.3">
      <c r="B189" s="9" t="s">
        <v>102</v>
      </c>
      <c r="C189" s="9">
        <v>0</v>
      </c>
      <c r="D189" s="10">
        <f>C189/C192</f>
        <v>0</v>
      </c>
      <c r="E189" s="18"/>
      <c r="F189" s="19"/>
    </row>
    <row r="190" spans="2:6" x14ac:dyDescent="0.3">
      <c r="B190" s="9" t="s">
        <v>103</v>
      </c>
      <c r="C190" s="9">
        <v>487</v>
      </c>
      <c r="D190" s="10">
        <f>C190/C192</f>
        <v>0.33539944903581265</v>
      </c>
      <c r="E190" s="18"/>
      <c r="F190" s="19"/>
    </row>
    <row r="191" spans="2:6" ht="15" thickBot="1" x14ac:dyDescent="0.35">
      <c r="B191" s="28" t="s">
        <v>104</v>
      </c>
      <c r="C191" s="28">
        <v>0</v>
      </c>
      <c r="D191" s="32">
        <f>C191/C192</f>
        <v>0</v>
      </c>
      <c r="E191" s="18"/>
      <c r="F191" s="19"/>
    </row>
    <row r="192" spans="2:6" x14ac:dyDescent="0.3">
      <c r="B192" s="27" t="s">
        <v>180</v>
      </c>
      <c r="C192" s="27">
        <f>SUM(C186:C191)</f>
        <v>1452</v>
      </c>
      <c r="D192" s="31">
        <f>C192/C192</f>
        <v>1</v>
      </c>
      <c r="E192" s="18"/>
      <c r="F192" s="18"/>
    </row>
  </sheetData>
  <mergeCells count="4">
    <mergeCell ref="C93:F93"/>
    <mergeCell ref="C140:F140"/>
    <mergeCell ref="C148:F148"/>
    <mergeCell ref="C159:F159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B2:U472"/>
  <sheetViews>
    <sheetView zoomScaleNormal="100" workbookViewId="0">
      <selection activeCell="B1" sqref="B1"/>
    </sheetView>
  </sheetViews>
  <sheetFormatPr baseColWidth="10" defaultRowHeight="14.4" x14ac:dyDescent="0.3"/>
  <cols>
    <col min="1" max="1" width="38.109375" customWidth="1"/>
    <col min="2" max="2" width="68.33203125" customWidth="1"/>
    <col min="3" max="22" width="15.33203125" customWidth="1"/>
  </cols>
  <sheetData>
    <row r="2" spans="2:12" ht="15.6" x14ac:dyDescent="0.3">
      <c r="B2" s="50" t="s">
        <v>203</v>
      </c>
      <c r="C2" s="51"/>
      <c r="D2" s="51"/>
      <c r="E2" s="51"/>
      <c r="F2" s="51"/>
      <c r="G2" s="51"/>
      <c r="H2" s="51"/>
      <c r="I2" s="51"/>
      <c r="J2" s="51"/>
      <c r="K2" s="51"/>
      <c r="L2" s="51"/>
    </row>
    <row r="4" spans="2:12" x14ac:dyDescent="0.3">
      <c r="B4" s="11" t="s">
        <v>255</v>
      </c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2:12" x14ac:dyDescent="0.3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2:12" s="7" customFormat="1" ht="180" customHeight="1" x14ac:dyDescent="0.3">
      <c r="B6" s="20" t="s">
        <v>1</v>
      </c>
      <c r="C6" s="20" t="s">
        <v>7</v>
      </c>
      <c r="D6" s="20" t="s">
        <v>8</v>
      </c>
      <c r="E6" s="20" t="s">
        <v>34</v>
      </c>
      <c r="F6" s="20" t="s">
        <v>105</v>
      </c>
      <c r="G6" s="20" t="s">
        <v>9</v>
      </c>
      <c r="H6" s="20" t="s">
        <v>225</v>
      </c>
      <c r="I6" s="20" t="s">
        <v>67</v>
      </c>
      <c r="J6" s="20" t="s">
        <v>11</v>
      </c>
      <c r="K6" s="20" t="s">
        <v>10</v>
      </c>
      <c r="L6" s="21" t="s">
        <v>224</v>
      </c>
    </row>
    <row r="7" spans="2:12" x14ac:dyDescent="0.3">
      <c r="B7" s="9" t="s">
        <v>41</v>
      </c>
      <c r="C7" s="9">
        <v>849470</v>
      </c>
      <c r="D7" s="9">
        <v>210031</v>
      </c>
      <c r="E7" s="9">
        <v>111155</v>
      </c>
      <c r="F7" s="9">
        <v>106</v>
      </c>
      <c r="G7" s="9">
        <v>9</v>
      </c>
      <c r="H7" s="9">
        <v>5851</v>
      </c>
      <c r="I7" s="9">
        <v>28085</v>
      </c>
      <c r="J7" s="9">
        <v>788</v>
      </c>
      <c r="K7" s="9">
        <v>137284</v>
      </c>
      <c r="L7" s="9">
        <f t="shared" ref="L7:L47" si="0">SUM(C7:K7)</f>
        <v>1342779</v>
      </c>
    </row>
    <row r="8" spans="2:12" x14ac:dyDescent="0.3">
      <c r="B8" s="9" t="s">
        <v>76</v>
      </c>
      <c r="C8" s="9">
        <v>28123</v>
      </c>
      <c r="D8" s="9">
        <v>12954</v>
      </c>
      <c r="E8" s="9">
        <v>86265</v>
      </c>
      <c r="F8" s="9">
        <v>15</v>
      </c>
      <c r="G8" s="9">
        <v>0</v>
      </c>
      <c r="H8" s="9">
        <v>1184</v>
      </c>
      <c r="I8" s="9">
        <v>5371</v>
      </c>
      <c r="J8" s="9">
        <v>0</v>
      </c>
      <c r="K8" s="9">
        <v>1110</v>
      </c>
      <c r="L8" s="9">
        <f t="shared" si="0"/>
        <v>135022</v>
      </c>
    </row>
    <row r="9" spans="2:12" x14ac:dyDescent="0.3">
      <c r="B9" s="9" t="s">
        <v>42</v>
      </c>
      <c r="C9" s="9">
        <v>386</v>
      </c>
      <c r="D9" s="9">
        <v>239</v>
      </c>
      <c r="E9" s="9">
        <v>7930</v>
      </c>
      <c r="F9" s="9">
        <v>0</v>
      </c>
      <c r="G9" s="9">
        <v>0</v>
      </c>
      <c r="H9" s="9">
        <v>5</v>
      </c>
      <c r="I9" s="9">
        <v>171</v>
      </c>
      <c r="J9" s="9">
        <v>0</v>
      </c>
      <c r="K9" s="9">
        <v>0</v>
      </c>
      <c r="L9" s="9">
        <f t="shared" si="0"/>
        <v>8731</v>
      </c>
    </row>
    <row r="10" spans="2:12" x14ac:dyDescent="0.3">
      <c r="B10" s="9" t="s">
        <v>43</v>
      </c>
      <c r="C10" s="9">
        <v>754</v>
      </c>
      <c r="D10" s="9">
        <v>1951</v>
      </c>
      <c r="E10" s="9">
        <v>33</v>
      </c>
      <c r="F10" s="9">
        <v>53</v>
      </c>
      <c r="G10" s="9">
        <v>0</v>
      </c>
      <c r="H10" s="9">
        <v>14</v>
      </c>
      <c r="I10" s="9">
        <v>44</v>
      </c>
      <c r="J10" s="9">
        <v>0</v>
      </c>
      <c r="K10" s="9">
        <v>0</v>
      </c>
      <c r="L10" s="9">
        <f t="shared" si="0"/>
        <v>2849</v>
      </c>
    </row>
    <row r="11" spans="2:12" x14ac:dyDescent="0.3">
      <c r="B11" s="9" t="s">
        <v>44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f t="shared" si="0"/>
        <v>0</v>
      </c>
    </row>
    <row r="12" spans="2:12" x14ac:dyDescent="0.3">
      <c r="B12" s="9" t="s">
        <v>45</v>
      </c>
      <c r="C12" s="9">
        <v>771</v>
      </c>
      <c r="D12" s="9">
        <v>1770</v>
      </c>
      <c r="E12" s="9">
        <v>375</v>
      </c>
      <c r="F12" s="9">
        <v>0</v>
      </c>
      <c r="G12" s="9">
        <v>5</v>
      </c>
      <c r="H12" s="9">
        <v>15</v>
      </c>
      <c r="I12" s="9">
        <v>35</v>
      </c>
      <c r="J12" s="9">
        <v>0</v>
      </c>
      <c r="K12" s="9">
        <v>0</v>
      </c>
      <c r="L12" s="9">
        <f t="shared" si="0"/>
        <v>2971</v>
      </c>
    </row>
    <row r="13" spans="2:12" x14ac:dyDescent="0.3">
      <c r="B13" s="9" t="s">
        <v>207</v>
      </c>
      <c r="C13" s="9">
        <v>2615</v>
      </c>
      <c r="D13" s="9">
        <v>431</v>
      </c>
      <c r="E13" s="9">
        <v>2985</v>
      </c>
      <c r="F13" s="9">
        <v>26</v>
      </c>
      <c r="G13" s="9">
        <v>0</v>
      </c>
      <c r="H13" s="9">
        <v>0</v>
      </c>
      <c r="I13" s="9">
        <v>18</v>
      </c>
      <c r="J13" s="9">
        <v>0</v>
      </c>
      <c r="K13" s="9">
        <v>0</v>
      </c>
      <c r="L13" s="9">
        <f t="shared" si="0"/>
        <v>6075</v>
      </c>
    </row>
    <row r="14" spans="2:12" x14ac:dyDescent="0.3">
      <c r="B14" s="9" t="s">
        <v>46</v>
      </c>
      <c r="C14" s="9">
        <v>485</v>
      </c>
      <c r="D14" s="9">
        <v>566</v>
      </c>
      <c r="E14" s="9">
        <v>61579</v>
      </c>
      <c r="F14" s="9">
        <v>0</v>
      </c>
      <c r="G14" s="9">
        <v>0</v>
      </c>
      <c r="H14" s="9">
        <v>11</v>
      </c>
      <c r="I14" s="9">
        <v>130</v>
      </c>
      <c r="J14" s="9">
        <v>0</v>
      </c>
      <c r="K14" s="9">
        <v>0</v>
      </c>
      <c r="L14" s="9">
        <f t="shared" si="0"/>
        <v>62771</v>
      </c>
    </row>
    <row r="15" spans="2:12" x14ac:dyDescent="0.3">
      <c r="B15" s="9" t="s">
        <v>47</v>
      </c>
      <c r="C15" s="9">
        <v>68</v>
      </c>
      <c r="D15" s="9">
        <v>126</v>
      </c>
      <c r="E15" s="9">
        <v>630</v>
      </c>
      <c r="F15" s="9">
        <v>0</v>
      </c>
      <c r="G15" s="9">
        <v>0</v>
      </c>
      <c r="H15" s="9">
        <v>29</v>
      </c>
      <c r="I15" s="9">
        <v>9</v>
      </c>
      <c r="J15" s="9">
        <v>0</v>
      </c>
      <c r="K15" s="9">
        <v>0</v>
      </c>
      <c r="L15" s="9">
        <f t="shared" si="0"/>
        <v>862</v>
      </c>
    </row>
    <row r="16" spans="2:12" x14ac:dyDescent="0.3">
      <c r="B16" s="9" t="s">
        <v>48</v>
      </c>
      <c r="C16" s="9">
        <v>190</v>
      </c>
      <c r="D16" s="9">
        <v>657</v>
      </c>
      <c r="E16" s="9">
        <v>1440</v>
      </c>
      <c r="F16" s="9">
        <v>0</v>
      </c>
      <c r="G16" s="9">
        <v>0</v>
      </c>
      <c r="H16" s="9">
        <v>118</v>
      </c>
      <c r="I16" s="9">
        <v>252</v>
      </c>
      <c r="J16" s="9">
        <v>0</v>
      </c>
      <c r="K16" s="9">
        <v>0</v>
      </c>
      <c r="L16" s="9">
        <f t="shared" si="0"/>
        <v>2657</v>
      </c>
    </row>
    <row r="17" spans="2:12" x14ac:dyDescent="0.3">
      <c r="B17" s="9" t="s">
        <v>49</v>
      </c>
      <c r="C17" s="9">
        <v>79</v>
      </c>
      <c r="D17" s="9">
        <v>48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f t="shared" si="0"/>
        <v>127</v>
      </c>
    </row>
    <row r="18" spans="2:12" x14ac:dyDescent="0.3">
      <c r="B18" s="9" t="s">
        <v>208</v>
      </c>
      <c r="C18" s="9">
        <v>9</v>
      </c>
      <c r="D18" s="9">
        <v>0</v>
      </c>
      <c r="E18" s="9">
        <v>4</v>
      </c>
      <c r="F18" s="9">
        <v>1</v>
      </c>
      <c r="G18" s="9">
        <v>10</v>
      </c>
      <c r="H18" s="9">
        <v>0</v>
      </c>
      <c r="I18" s="9">
        <v>0</v>
      </c>
      <c r="J18" s="9">
        <v>0</v>
      </c>
      <c r="K18" s="9">
        <v>0</v>
      </c>
      <c r="L18" s="9">
        <f t="shared" si="0"/>
        <v>24</v>
      </c>
    </row>
    <row r="19" spans="2:12" x14ac:dyDescent="0.3">
      <c r="B19" s="9" t="s">
        <v>50</v>
      </c>
      <c r="C19" s="9">
        <v>1047</v>
      </c>
      <c r="D19" s="9">
        <v>720</v>
      </c>
      <c r="E19" s="9">
        <v>66</v>
      </c>
      <c r="F19" s="9">
        <v>0</v>
      </c>
      <c r="G19" s="9">
        <v>0</v>
      </c>
      <c r="H19" s="9">
        <v>16</v>
      </c>
      <c r="I19" s="9">
        <v>3</v>
      </c>
      <c r="J19" s="9">
        <v>0</v>
      </c>
      <c r="K19" s="9">
        <v>0</v>
      </c>
      <c r="L19" s="9">
        <f t="shared" si="0"/>
        <v>1852</v>
      </c>
    </row>
    <row r="20" spans="2:12" x14ac:dyDescent="0.3">
      <c r="B20" s="9" t="s">
        <v>51</v>
      </c>
      <c r="C20" s="9">
        <v>2574</v>
      </c>
      <c r="D20" s="9">
        <v>5900</v>
      </c>
      <c r="E20" s="9">
        <v>1738</v>
      </c>
      <c r="F20" s="9">
        <v>90</v>
      </c>
      <c r="G20" s="9">
        <v>8</v>
      </c>
      <c r="H20" s="9">
        <v>288</v>
      </c>
      <c r="I20" s="9">
        <v>553</v>
      </c>
      <c r="J20" s="9">
        <v>0</v>
      </c>
      <c r="K20" s="9">
        <v>0</v>
      </c>
      <c r="L20" s="9">
        <f t="shared" si="0"/>
        <v>11151</v>
      </c>
    </row>
    <row r="21" spans="2:12" x14ac:dyDescent="0.3">
      <c r="B21" s="9" t="s">
        <v>52</v>
      </c>
      <c r="C21" s="9">
        <v>78</v>
      </c>
      <c r="D21" s="9">
        <v>42</v>
      </c>
      <c r="E21" s="9">
        <v>10</v>
      </c>
      <c r="F21" s="9">
        <v>0</v>
      </c>
      <c r="G21" s="9">
        <v>0</v>
      </c>
      <c r="H21" s="9">
        <v>71</v>
      </c>
      <c r="I21" s="9">
        <v>0</v>
      </c>
      <c r="J21" s="9">
        <v>0</v>
      </c>
      <c r="K21" s="9">
        <v>0</v>
      </c>
      <c r="L21" s="9">
        <f t="shared" si="0"/>
        <v>201</v>
      </c>
    </row>
    <row r="22" spans="2:12" x14ac:dyDescent="0.3">
      <c r="B22" s="9" t="s">
        <v>53</v>
      </c>
      <c r="C22" s="9">
        <v>51</v>
      </c>
      <c r="D22" s="9">
        <v>1696</v>
      </c>
      <c r="E22" s="9">
        <v>858</v>
      </c>
      <c r="F22" s="9">
        <v>115</v>
      </c>
      <c r="G22" s="9">
        <v>0</v>
      </c>
      <c r="H22" s="9">
        <v>92</v>
      </c>
      <c r="I22" s="9">
        <v>20</v>
      </c>
      <c r="J22" s="9">
        <v>0</v>
      </c>
      <c r="K22" s="9">
        <v>0</v>
      </c>
      <c r="L22" s="9">
        <f t="shared" si="0"/>
        <v>2832</v>
      </c>
    </row>
    <row r="23" spans="2:12" x14ac:dyDescent="0.3">
      <c r="B23" s="9" t="s">
        <v>54</v>
      </c>
      <c r="C23" s="9">
        <v>2157</v>
      </c>
      <c r="D23" s="9">
        <v>3016</v>
      </c>
      <c r="E23" s="9">
        <v>274</v>
      </c>
      <c r="F23" s="9">
        <v>0</v>
      </c>
      <c r="G23" s="9">
        <v>0</v>
      </c>
      <c r="H23" s="9">
        <v>128</v>
      </c>
      <c r="I23" s="9">
        <v>492</v>
      </c>
      <c r="J23" s="9">
        <v>0</v>
      </c>
      <c r="K23" s="9">
        <v>0</v>
      </c>
      <c r="L23" s="9">
        <f t="shared" si="0"/>
        <v>6067</v>
      </c>
    </row>
    <row r="24" spans="2:12" x14ac:dyDescent="0.3">
      <c r="B24" s="9" t="s">
        <v>55</v>
      </c>
      <c r="C24" s="9">
        <v>4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f t="shared" si="0"/>
        <v>4</v>
      </c>
    </row>
    <row r="25" spans="2:12" x14ac:dyDescent="0.3">
      <c r="B25" s="9" t="s">
        <v>209</v>
      </c>
      <c r="C25" s="9">
        <v>14</v>
      </c>
      <c r="D25" s="9">
        <v>12</v>
      </c>
      <c r="E25" s="9">
        <v>57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f t="shared" si="0"/>
        <v>83</v>
      </c>
    </row>
    <row r="26" spans="2:12" x14ac:dyDescent="0.3">
      <c r="B26" s="9" t="s">
        <v>56</v>
      </c>
      <c r="C26" s="9">
        <v>4</v>
      </c>
      <c r="D26" s="9">
        <v>70</v>
      </c>
      <c r="E26" s="9">
        <v>1648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f t="shared" si="0"/>
        <v>1722</v>
      </c>
    </row>
    <row r="27" spans="2:12" x14ac:dyDescent="0.3">
      <c r="B27" s="9" t="s">
        <v>57</v>
      </c>
      <c r="C27" s="9">
        <v>33</v>
      </c>
      <c r="D27" s="9">
        <v>29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f t="shared" si="0"/>
        <v>62</v>
      </c>
    </row>
    <row r="28" spans="2:12" x14ac:dyDescent="0.3">
      <c r="B28" s="9" t="s">
        <v>210</v>
      </c>
      <c r="C28" s="9">
        <v>0</v>
      </c>
      <c r="D28" s="9">
        <v>4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f t="shared" si="0"/>
        <v>4</v>
      </c>
    </row>
    <row r="29" spans="2:12" x14ac:dyDescent="0.3">
      <c r="B29" s="9" t="s">
        <v>58</v>
      </c>
      <c r="C29" s="9">
        <v>0</v>
      </c>
      <c r="D29" s="9">
        <v>6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f t="shared" si="0"/>
        <v>6</v>
      </c>
    </row>
    <row r="30" spans="2:12" x14ac:dyDescent="0.3">
      <c r="B30" s="9" t="s">
        <v>211</v>
      </c>
      <c r="C30" s="9">
        <v>0</v>
      </c>
      <c r="D30" s="9">
        <v>3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f t="shared" si="0"/>
        <v>3</v>
      </c>
    </row>
    <row r="31" spans="2:12" x14ac:dyDescent="0.3">
      <c r="B31" s="9" t="s">
        <v>212</v>
      </c>
      <c r="C31" s="9">
        <v>0</v>
      </c>
      <c r="D31" s="9">
        <v>2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f t="shared" si="0"/>
        <v>2</v>
      </c>
    </row>
    <row r="32" spans="2:12" x14ac:dyDescent="0.3">
      <c r="B32" s="9" t="s">
        <v>213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f t="shared" si="0"/>
        <v>0</v>
      </c>
    </row>
    <row r="33" spans="2:12" x14ac:dyDescent="0.3">
      <c r="B33" s="9" t="s">
        <v>59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f t="shared" si="0"/>
        <v>0</v>
      </c>
    </row>
    <row r="34" spans="2:12" x14ac:dyDescent="0.3">
      <c r="B34" s="9" t="s">
        <v>214</v>
      </c>
      <c r="C34" s="9">
        <v>1442</v>
      </c>
      <c r="D34" s="9">
        <v>289</v>
      </c>
      <c r="E34" s="9">
        <v>3</v>
      </c>
      <c r="F34" s="9">
        <v>74</v>
      </c>
      <c r="G34" s="9">
        <v>108</v>
      </c>
      <c r="H34" s="9">
        <v>147</v>
      </c>
      <c r="I34" s="9">
        <v>0</v>
      </c>
      <c r="J34" s="9">
        <v>0</v>
      </c>
      <c r="K34" s="9">
        <v>0</v>
      </c>
      <c r="L34" s="9">
        <f t="shared" si="0"/>
        <v>2063</v>
      </c>
    </row>
    <row r="35" spans="2:12" x14ac:dyDescent="0.3">
      <c r="B35" s="9" t="s">
        <v>60</v>
      </c>
      <c r="C35" s="9">
        <v>4327</v>
      </c>
      <c r="D35" s="9">
        <v>8204</v>
      </c>
      <c r="E35" s="9">
        <v>5240</v>
      </c>
      <c r="F35" s="9">
        <v>0</v>
      </c>
      <c r="G35" s="9">
        <v>629</v>
      </c>
      <c r="H35" s="9">
        <v>257</v>
      </c>
      <c r="I35" s="9">
        <v>64</v>
      </c>
      <c r="J35" s="9">
        <v>0</v>
      </c>
      <c r="K35" s="9">
        <v>0</v>
      </c>
      <c r="L35" s="9">
        <f t="shared" si="0"/>
        <v>18721</v>
      </c>
    </row>
    <row r="36" spans="2:12" x14ac:dyDescent="0.3">
      <c r="B36" s="9" t="s">
        <v>61</v>
      </c>
      <c r="C36" s="9">
        <v>0</v>
      </c>
      <c r="D36" s="9">
        <v>77</v>
      </c>
      <c r="E36" s="9">
        <v>3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f t="shared" si="0"/>
        <v>80</v>
      </c>
    </row>
    <row r="37" spans="2:12" x14ac:dyDescent="0.3">
      <c r="B37" s="9" t="s">
        <v>78</v>
      </c>
      <c r="C37" s="9">
        <v>6202</v>
      </c>
      <c r="D37" s="9">
        <v>433</v>
      </c>
      <c r="E37" s="9">
        <v>120</v>
      </c>
      <c r="F37" s="9">
        <v>585</v>
      </c>
      <c r="G37" s="9">
        <v>345</v>
      </c>
      <c r="H37" s="9">
        <v>193</v>
      </c>
      <c r="I37" s="9">
        <v>66</v>
      </c>
      <c r="J37" s="9">
        <v>0</v>
      </c>
      <c r="K37" s="9">
        <v>0</v>
      </c>
      <c r="L37" s="9">
        <f t="shared" si="0"/>
        <v>7944</v>
      </c>
    </row>
    <row r="38" spans="2:12" x14ac:dyDescent="0.3">
      <c r="B38" s="9" t="s">
        <v>62</v>
      </c>
      <c r="C38" s="9">
        <v>94</v>
      </c>
      <c r="D38" s="9">
        <v>35</v>
      </c>
      <c r="E38" s="9">
        <v>0</v>
      </c>
      <c r="F38" s="9">
        <v>83</v>
      </c>
      <c r="G38" s="9">
        <v>44</v>
      </c>
      <c r="H38" s="9">
        <v>4</v>
      </c>
      <c r="I38" s="9">
        <v>12</v>
      </c>
      <c r="J38" s="9">
        <v>0</v>
      </c>
      <c r="K38" s="9">
        <v>0</v>
      </c>
      <c r="L38" s="9">
        <f t="shared" si="0"/>
        <v>272</v>
      </c>
    </row>
    <row r="39" spans="2:12" x14ac:dyDescent="0.3">
      <c r="B39" s="9" t="s">
        <v>314</v>
      </c>
      <c r="C39" s="9">
        <v>1183</v>
      </c>
      <c r="D39" s="9">
        <v>0</v>
      </c>
      <c r="E39" s="9">
        <v>0</v>
      </c>
      <c r="F39" s="9">
        <v>864</v>
      </c>
      <c r="G39" s="9">
        <v>585</v>
      </c>
      <c r="H39" s="9">
        <v>0</v>
      </c>
      <c r="I39" s="9">
        <v>0</v>
      </c>
      <c r="J39" s="9">
        <v>0</v>
      </c>
      <c r="K39" s="9">
        <v>0</v>
      </c>
      <c r="L39" s="9">
        <f t="shared" si="0"/>
        <v>2632</v>
      </c>
    </row>
    <row r="40" spans="2:12" x14ac:dyDescent="0.3">
      <c r="B40" s="9" t="s">
        <v>79</v>
      </c>
      <c r="C40" s="9">
        <v>3173</v>
      </c>
      <c r="D40" s="9">
        <v>20</v>
      </c>
      <c r="E40" s="9">
        <v>5440</v>
      </c>
      <c r="F40" s="9">
        <v>0</v>
      </c>
      <c r="G40" s="9">
        <v>405</v>
      </c>
      <c r="H40" s="9">
        <v>22</v>
      </c>
      <c r="I40" s="9">
        <v>60</v>
      </c>
      <c r="J40" s="9">
        <v>0</v>
      </c>
      <c r="K40" s="9">
        <v>0</v>
      </c>
      <c r="L40" s="9">
        <f t="shared" si="0"/>
        <v>9120</v>
      </c>
    </row>
    <row r="41" spans="2:12" x14ac:dyDescent="0.3">
      <c r="B41" s="9" t="s">
        <v>215</v>
      </c>
      <c r="C41" s="9">
        <v>3196</v>
      </c>
      <c r="D41" s="9">
        <v>0</v>
      </c>
      <c r="E41" s="9">
        <v>0</v>
      </c>
      <c r="F41" s="9">
        <v>191</v>
      </c>
      <c r="G41" s="9">
        <v>0</v>
      </c>
      <c r="H41" s="9">
        <v>0</v>
      </c>
      <c r="I41" s="9">
        <v>248</v>
      </c>
      <c r="J41" s="9">
        <v>0</v>
      </c>
      <c r="K41" s="9">
        <v>0</v>
      </c>
      <c r="L41" s="9">
        <f t="shared" si="0"/>
        <v>3635</v>
      </c>
    </row>
    <row r="42" spans="2:12" x14ac:dyDescent="0.3">
      <c r="B42" s="9" t="s">
        <v>63</v>
      </c>
      <c r="C42" s="9">
        <v>114950</v>
      </c>
      <c r="D42" s="9">
        <v>3099</v>
      </c>
      <c r="E42" s="9">
        <v>16173</v>
      </c>
      <c r="F42" s="9">
        <v>4500</v>
      </c>
      <c r="G42" s="9">
        <v>0</v>
      </c>
      <c r="H42" s="9">
        <v>293</v>
      </c>
      <c r="I42" s="9">
        <v>1418</v>
      </c>
      <c r="J42" s="9">
        <v>0</v>
      </c>
      <c r="K42" s="9">
        <v>17949</v>
      </c>
      <c r="L42" s="9">
        <f t="shared" si="0"/>
        <v>158382</v>
      </c>
    </row>
    <row r="43" spans="2:12" x14ac:dyDescent="0.3">
      <c r="B43" s="9" t="s">
        <v>216</v>
      </c>
      <c r="C43" s="9">
        <v>502</v>
      </c>
      <c r="D43" s="9">
        <v>452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f t="shared" si="0"/>
        <v>954</v>
      </c>
    </row>
    <row r="44" spans="2:12" x14ac:dyDescent="0.3">
      <c r="B44" s="9" t="s">
        <v>64</v>
      </c>
      <c r="C44" s="9">
        <v>1565</v>
      </c>
      <c r="D44" s="9">
        <v>2603</v>
      </c>
      <c r="E44" s="9">
        <v>4096</v>
      </c>
      <c r="F44" s="9">
        <v>1440</v>
      </c>
      <c r="G44" s="9">
        <v>14320</v>
      </c>
      <c r="H44" s="9">
        <v>9</v>
      </c>
      <c r="I44" s="9">
        <v>5</v>
      </c>
      <c r="J44" s="9">
        <v>0</v>
      </c>
      <c r="K44" s="9">
        <v>0</v>
      </c>
      <c r="L44" s="9">
        <f t="shared" si="0"/>
        <v>24038</v>
      </c>
    </row>
    <row r="45" spans="2:12" x14ac:dyDescent="0.3">
      <c r="B45" s="9" t="s">
        <v>65</v>
      </c>
      <c r="C45" s="9">
        <v>663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f t="shared" si="0"/>
        <v>663</v>
      </c>
    </row>
    <row r="46" spans="2:12" x14ac:dyDescent="0.3">
      <c r="B46" s="9" t="s">
        <v>217</v>
      </c>
      <c r="C46" s="9">
        <v>11681</v>
      </c>
      <c r="D46" s="9">
        <v>11946</v>
      </c>
      <c r="E46" s="9">
        <v>5435</v>
      </c>
      <c r="F46" s="9">
        <v>2063</v>
      </c>
      <c r="G46" s="9">
        <v>10109</v>
      </c>
      <c r="H46" s="9">
        <v>202</v>
      </c>
      <c r="I46" s="9">
        <v>48</v>
      </c>
      <c r="J46" s="9">
        <v>0</v>
      </c>
      <c r="K46" s="9">
        <v>573</v>
      </c>
      <c r="L46" s="9">
        <f t="shared" si="0"/>
        <v>42057</v>
      </c>
    </row>
    <row r="47" spans="2:12" ht="15" thickBot="1" x14ac:dyDescent="0.35">
      <c r="B47" s="28" t="s">
        <v>66</v>
      </c>
      <c r="C47" s="28">
        <v>41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16</v>
      </c>
      <c r="J47" s="28">
        <v>0</v>
      </c>
      <c r="K47" s="28">
        <v>0</v>
      </c>
      <c r="L47" s="28">
        <f t="shared" si="0"/>
        <v>57</v>
      </c>
    </row>
    <row r="48" spans="2:12" x14ac:dyDescent="0.3">
      <c r="B48" s="27" t="s">
        <v>269</v>
      </c>
      <c r="C48" s="27">
        <f t="shared" ref="C48:L48" si="1">SUM(C6:C47)</f>
        <v>1037931</v>
      </c>
      <c r="D48" s="27">
        <f t="shared" si="1"/>
        <v>267431</v>
      </c>
      <c r="E48" s="27">
        <f t="shared" si="1"/>
        <v>313557</v>
      </c>
      <c r="F48" s="27">
        <f t="shared" si="1"/>
        <v>10206</v>
      </c>
      <c r="G48" s="27">
        <f t="shared" si="1"/>
        <v>26577</v>
      </c>
      <c r="H48" s="27">
        <f t="shared" si="1"/>
        <v>8949</v>
      </c>
      <c r="I48" s="27">
        <f t="shared" si="1"/>
        <v>37120</v>
      </c>
      <c r="J48" s="27">
        <f t="shared" si="1"/>
        <v>788</v>
      </c>
      <c r="K48" s="27">
        <f t="shared" si="1"/>
        <v>156916</v>
      </c>
      <c r="L48" s="27">
        <f t="shared" si="1"/>
        <v>1859475</v>
      </c>
    </row>
    <row r="49" spans="2:17" x14ac:dyDescent="0.3">
      <c r="B49" s="8" t="s">
        <v>226</v>
      </c>
      <c r="C49" s="23">
        <f>C48/L48</f>
        <v>0.55818497156455449</v>
      </c>
      <c r="D49" s="23">
        <f>D48/L48</f>
        <v>0.14382070207988815</v>
      </c>
      <c r="E49" s="23">
        <f>E48/L48</f>
        <v>0.16862662848384624</v>
      </c>
      <c r="F49" s="23">
        <f>F48/L48</f>
        <v>5.4886459887871575E-3</v>
      </c>
      <c r="G49" s="23">
        <f>G48/L48</f>
        <v>1.4292743919654741E-2</v>
      </c>
      <c r="H49" s="23">
        <f>H48/L48</f>
        <v>4.8126487314967938E-3</v>
      </c>
      <c r="I49" s="23">
        <f>I48/L48</f>
        <v>1.9962623858884899E-2</v>
      </c>
      <c r="J49" s="23">
        <f>J48/L48</f>
        <v>4.2377552803882814E-4</v>
      </c>
      <c r="K49" s="23">
        <f>K48/L48</f>
        <v>8.4387259844848683E-2</v>
      </c>
      <c r="L49" s="23">
        <f>L48/L48</f>
        <v>1</v>
      </c>
    </row>
    <row r="51" spans="2:17" x14ac:dyDescent="0.3">
      <c r="B51" s="11" t="s">
        <v>256</v>
      </c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</row>
    <row r="52" spans="2:17" x14ac:dyDescent="0.3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</row>
    <row r="53" spans="2:17" s="7" customFormat="1" ht="75" customHeight="1" x14ac:dyDescent="0.3">
      <c r="B53" s="20" t="s">
        <v>1</v>
      </c>
      <c r="C53" s="20" t="s">
        <v>12</v>
      </c>
      <c r="D53" s="20" t="s">
        <v>13</v>
      </c>
      <c r="E53" s="20" t="s">
        <v>14</v>
      </c>
      <c r="F53" s="20" t="s">
        <v>15</v>
      </c>
      <c r="G53" s="20" t="s">
        <v>16</v>
      </c>
      <c r="H53" s="20" t="s">
        <v>227</v>
      </c>
      <c r="I53" s="20" t="s">
        <v>18</v>
      </c>
      <c r="J53" s="20" t="s">
        <v>19</v>
      </c>
      <c r="K53" s="20" t="s">
        <v>106</v>
      </c>
      <c r="L53" s="20" t="s">
        <v>20</v>
      </c>
      <c r="M53" s="20" t="s">
        <v>228</v>
      </c>
      <c r="N53" s="20" t="s">
        <v>21</v>
      </c>
      <c r="O53" s="20" t="s">
        <v>229</v>
      </c>
      <c r="P53" s="20" t="s">
        <v>230</v>
      </c>
      <c r="Q53" s="21" t="s">
        <v>224</v>
      </c>
    </row>
    <row r="54" spans="2:17" x14ac:dyDescent="0.3">
      <c r="B54" s="9" t="s">
        <v>41</v>
      </c>
      <c r="C54" s="9">
        <v>102346</v>
      </c>
      <c r="D54" s="9">
        <v>86566</v>
      </c>
      <c r="E54" s="9">
        <v>176628</v>
      </c>
      <c r="F54" s="9">
        <v>15601</v>
      </c>
      <c r="G54" s="9">
        <v>36097</v>
      </c>
      <c r="H54" s="9">
        <v>16059</v>
      </c>
      <c r="I54" s="9">
        <v>178223</v>
      </c>
      <c r="J54" s="9">
        <v>19790</v>
      </c>
      <c r="K54" s="9">
        <v>14614</v>
      </c>
      <c r="L54" s="9">
        <v>51947</v>
      </c>
      <c r="M54" s="9">
        <v>6965</v>
      </c>
      <c r="N54" s="9">
        <v>126022</v>
      </c>
      <c r="O54" s="9">
        <v>3947</v>
      </c>
      <c r="P54" s="9">
        <v>14665</v>
      </c>
      <c r="Q54" s="9">
        <f t="shared" ref="Q54:Q94" si="2">SUM(C54:P54)</f>
        <v>849470</v>
      </c>
    </row>
    <row r="55" spans="2:17" x14ac:dyDescent="0.3">
      <c r="B55" s="9" t="s">
        <v>76</v>
      </c>
      <c r="C55" s="9">
        <v>454</v>
      </c>
      <c r="D55" s="9">
        <v>3467</v>
      </c>
      <c r="E55" s="9">
        <v>14517</v>
      </c>
      <c r="F55" s="9">
        <v>959</v>
      </c>
      <c r="G55" s="9">
        <v>677</v>
      </c>
      <c r="H55" s="9">
        <v>666</v>
      </c>
      <c r="I55" s="9">
        <v>4172</v>
      </c>
      <c r="J55" s="9">
        <v>468</v>
      </c>
      <c r="K55" s="9">
        <v>462</v>
      </c>
      <c r="L55" s="9">
        <v>676</v>
      </c>
      <c r="M55" s="9">
        <v>41</v>
      </c>
      <c r="N55" s="9">
        <v>1367</v>
      </c>
      <c r="O55" s="9">
        <v>193</v>
      </c>
      <c r="P55" s="9">
        <v>4</v>
      </c>
      <c r="Q55" s="9">
        <f t="shared" si="2"/>
        <v>28123</v>
      </c>
    </row>
    <row r="56" spans="2:17" x14ac:dyDescent="0.3">
      <c r="B56" s="9" t="s">
        <v>42</v>
      </c>
      <c r="C56" s="9">
        <v>10</v>
      </c>
      <c r="D56" s="9">
        <v>56</v>
      </c>
      <c r="E56" s="9">
        <v>2</v>
      </c>
      <c r="F56" s="9">
        <v>0</v>
      </c>
      <c r="G56" s="9">
        <v>0</v>
      </c>
      <c r="H56" s="9">
        <v>40</v>
      </c>
      <c r="I56" s="9">
        <v>8</v>
      </c>
      <c r="J56" s="9">
        <v>0</v>
      </c>
      <c r="K56" s="9">
        <v>70</v>
      </c>
      <c r="L56" s="9">
        <v>0</v>
      </c>
      <c r="M56" s="9">
        <v>0</v>
      </c>
      <c r="N56" s="9">
        <v>38</v>
      </c>
      <c r="O56" s="9">
        <v>37</v>
      </c>
      <c r="P56" s="9">
        <v>125</v>
      </c>
      <c r="Q56" s="9">
        <f t="shared" si="2"/>
        <v>386</v>
      </c>
    </row>
    <row r="57" spans="2:17" x14ac:dyDescent="0.3">
      <c r="B57" s="9" t="s">
        <v>43</v>
      </c>
      <c r="C57" s="9">
        <v>0</v>
      </c>
      <c r="D57" s="9">
        <v>472</v>
      </c>
      <c r="E57" s="9">
        <v>97</v>
      </c>
      <c r="F57" s="9">
        <v>0</v>
      </c>
      <c r="G57" s="9">
        <v>0</v>
      </c>
      <c r="H57" s="9">
        <v>0</v>
      </c>
      <c r="I57" s="9">
        <v>131</v>
      </c>
      <c r="J57" s="9">
        <v>0</v>
      </c>
      <c r="K57" s="9">
        <v>0</v>
      </c>
      <c r="L57" s="9">
        <v>0</v>
      </c>
      <c r="M57" s="9">
        <v>0</v>
      </c>
      <c r="N57" s="9">
        <v>54</v>
      </c>
      <c r="O57" s="9">
        <v>0</v>
      </c>
      <c r="P57" s="9">
        <v>0</v>
      </c>
      <c r="Q57" s="9">
        <f t="shared" si="2"/>
        <v>754</v>
      </c>
    </row>
    <row r="58" spans="2:17" x14ac:dyDescent="0.3">
      <c r="B58" s="9" t="s">
        <v>44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f t="shared" si="2"/>
        <v>0</v>
      </c>
    </row>
    <row r="59" spans="2:17" x14ac:dyDescent="0.3">
      <c r="B59" s="9" t="s">
        <v>45</v>
      </c>
      <c r="C59" s="9">
        <v>0</v>
      </c>
      <c r="D59" s="9">
        <v>0</v>
      </c>
      <c r="E59" s="9">
        <v>302</v>
      </c>
      <c r="F59" s="9">
        <v>0</v>
      </c>
      <c r="G59" s="9">
        <v>0</v>
      </c>
      <c r="H59" s="9">
        <v>0</v>
      </c>
      <c r="I59" s="9">
        <v>131</v>
      </c>
      <c r="J59" s="9">
        <v>0</v>
      </c>
      <c r="K59" s="9">
        <v>275</v>
      </c>
      <c r="L59" s="9">
        <v>0</v>
      </c>
      <c r="M59" s="9">
        <v>15</v>
      </c>
      <c r="N59" s="9">
        <v>0</v>
      </c>
      <c r="O59" s="9">
        <v>48</v>
      </c>
      <c r="P59" s="9">
        <v>0</v>
      </c>
      <c r="Q59" s="9">
        <f t="shared" si="2"/>
        <v>771</v>
      </c>
    </row>
    <row r="60" spans="2:17" x14ac:dyDescent="0.3">
      <c r="B60" s="9" t="s">
        <v>207</v>
      </c>
      <c r="C60" s="9">
        <v>65</v>
      </c>
      <c r="D60" s="9">
        <v>0</v>
      </c>
      <c r="E60" s="9">
        <v>103</v>
      </c>
      <c r="F60" s="9">
        <v>0</v>
      </c>
      <c r="G60" s="9">
        <v>0</v>
      </c>
      <c r="H60" s="9">
        <v>3</v>
      </c>
      <c r="I60" s="9">
        <v>38</v>
      </c>
      <c r="J60" s="9">
        <v>0</v>
      </c>
      <c r="K60" s="9">
        <v>4</v>
      </c>
      <c r="L60" s="9">
        <v>11</v>
      </c>
      <c r="M60" s="9">
        <v>0</v>
      </c>
      <c r="N60" s="9">
        <v>10</v>
      </c>
      <c r="O60" s="9">
        <v>1310</v>
      </c>
      <c r="P60" s="9">
        <v>1071</v>
      </c>
      <c r="Q60" s="9">
        <f t="shared" si="2"/>
        <v>2615</v>
      </c>
    </row>
    <row r="61" spans="2:17" x14ac:dyDescent="0.3">
      <c r="B61" s="9" t="s">
        <v>46</v>
      </c>
      <c r="C61" s="9">
        <v>10</v>
      </c>
      <c r="D61" s="9">
        <v>151</v>
      </c>
      <c r="E61" s="9">
        <v>2</v>
      </c>
      <c r="F61" s="9">
        <v>61</v>
      </c>
      <c r="G61" s="9">
        <v>0</v>
      </c>
      <c r="H61" s="9">
        <v>144</v>
      </c>
      <c r="I61" s="9">
        <v>34</v>
      </c>
      <c r="J61" s="9">
        <v>0</v>
      </c>
      <c r="K61" s="9">
        <v>19</v>
      </c>
      <c r="L61" s="9">
        <v>28</v>
      </c>
      <c r="M61" s="9">
        <v>2</v>
      </c>
      <c r="N61" s="9">
        <v>28</v>
      </c>
      <c r="O61" s="9">
        <v>0</v>
      </c>
      <c r="P61" s="9">
        <v>6</v>
      </c>
      <c r="Q61" s="9">
        <f t="shared" si="2"/>
        <v>485</v>
      </c>
    </row>
    <row r="62" spans="2:17" x14ac:dyDescent="0.3">
      <c r="B62" s="9" t="s">
        <v>47</v>
      </c>
      <c r="C62" s="9">
        <v>4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25</v>
      </c>
      <c r="J62" s="9">
        <v>0</v>
      </c>
      <c r="K62" s="9">
        <v>8</v>
      </c>
      <c r="L62" s="9">
        <v>9</v>
      </c>
      <c r="M62" s="9">
        <v>0</v>
      </c>
      <c r="N62" s="9">
        <v>22</v>
      </c>
      <c r="O62" s="9">
        <v>0</v>
      </c>
      <c r="P62" s="9">
        <v>0</v>
      </c>
      <c r="Q62" s="9">
        <f t="shared" si="2"/>
        <v>68</v>
      </c>
    </row>
    <row r="63" spans="2:17" x14ac:dyDescent="0.3">
      <c r="B63" s="9" t="s">
        <v>48</v>
      </c>
      <c r="C63" s="9">
        <v>0</v>
      </c>
      <c r="D63" s="9">
        <v>0</v>
      </c>
      <c r="E63" s="9">
        <v>3</v>
      </c>
      <c r="F63" s="9">
        <v>15</v>
      </c>
      <c r="G63" s="9">
        <v>14</v>
      </c>
      <c r="H63" s="9">
        <v>0</v>
      </c>
      <c r="I63" s="9">
        <v>18</v>
      </c>
      <c r="J63" s="9">
        <v>56</v>
      </c>
      <c r="K63" s="9">
        <v>0</v>
      </c>
      <c r="L63" s="9">
        <v>0</v>
      </c>
      <c r="M63" s="9">
        <v>0</v>
      </c>
      <c r="N63" s="9">
        <v>84</v>
      </c>
      <c r="O63" s="9">
        <v>0</v>
      </c>
      <c r="P63" s="9">
        <v>0</v>
      </c>
      <c r="Q63" s="9">
        <f t="shared" si="2"/>
        <v>190</v>
      </c>
    </row>
    <row r="64" spans="2:17" x14ac:dyDescent="0.3">
      <c r="B64" s="9" t="s">
        <v>49</v>
      </c>
      <c r="C64" s="9">
        <v>0</v>
      </c>
      <c r="D64" s="9">
        <v>0</v>
      </c>
      <c r="E64" s="9">
        <v>15</v>
      </c>
      <c r="F64" s="9">
        <v>40</v>
      </c>
      <c r="G64" s="9">
        <v>0</v>
      </c>
      <c r="H64" s="9">
        <v>0</v>
      </c>
      <c r="I64" s="9">
        <v>16</v>
      </c>
      <c r="J64" s="9">
        <v>0</v>
      </c>
      <c r="K64" s="9">
        <v>0</v>
      </c>
      <c r="L64" s="9">
        <v>0</v>
      </c>
      <c r="M64" s="9">
        <v>0</v>
      </c>
      <c r="N64" s="9">
        <v>8</v>
      </c>
      <c r="O64" s="9">
        <v>0</v>
      </c>
      <c r="P64" s="9">
        <v>0</v>
      </c>
      <c r="Q64" s="9">
        <f t="shared" si="2"/>
        <v>79</v>
      </c>
    </row>
    <row r="65" spans="2:17" x14ac:dyDescent="0.3">
      <c r="B65" s="9" t="s">
        <v>208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9</v>
      </c>
      <c r="P65" s="9">
        <v>0</v>
      </c>
      <c r="Q65" s="9">
        <f t="shared" si="2"/>
        <v>9</v>
      </c>
    </row>
    <row r="66" spans="2:17" x14ac:dyDescent="0.3">
      <c r="B66" s="9" t="s">
        <v>50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231</v>
      </c>
      <c r="J66" s="9">
        <v>316</v>
      </c>
      <c r="K66" s="9">
        <v>149</v>
      </c>
      <c r="L66" s="9">
        <v>0</v>
      </c>
      <c r="M66" s="9">
        <v>0</v>
      </c>
      <c r="N66" s="9">
        <v>351</v>
      </c>
      <c r="O66" s="9">
        <v>0</v>
      </c>
      <c r="P66" s="9">
        <v>0</v>
      </c>
      <c r="Q66" s="9">
        <f t="shared" si="2"/>
        <v>1047</v>
      </c>
    </row>
    <row r="67" spans="2:17" x14ac:dyDescent="0.3">
      <c r="B67" s="9" t="s">
        <v>51</v>
      </c>
      <c r="C67" s="9">
        <v>45</v>
      </c>
      <c r="D67" s="9">
        <v>422</v>
      </c>
      <c r="E67" s="9">
        <v>54</v>
      </c>
      <c r="F67" s="9">
        <v>118</v>
      </c>
      <c r="G67" s="9">
        <v>141</v>
      </c>
      <c r="H67" s="9">
        <v>189</v>
      </c>
      <c r="I67" s="9">
        <v>159</v>
      </c>
      <c r="J67" s="9">
        <v>75</v>
      </c>
      <c r="K67" s="9">
        <v>1</v>
      </c>
      <c r="L67" s="9">
        <v>221</v>
      </c>
      <c r="M67" s="9">
        <v>0</v>
      </c>
      <c r="N67" s="9">
        <v>824</v>
      </c>
      <c r="O67" s="9">
        <v>101</v>
      </c>
      <c r="P67" s="9">
        <v>224</v>
      </c>
      <c r="Q67" s="9">
        <f t="shared" si="2"/>
        <v>2574</v>
      </c>
    </row>
    <row r="68" spans="2:17" x14ac:dyDescent="0.3">
      <c r="B68" s="9" t="s">
        <v>52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1</v>
      </c>
      <c r="K68" s="9">
        <v>0</v>
      </c>
      <c r="L68" s="9">
        <v>0</v>
      </c>
      <c r="M68" s="9">
        <v>0</v>
      </c>
      <c r="N68" s="9">
        <v>28</v>
      </c>
      <c r="O68" s="9">
        <v>0</v>
      </c>
      <c r="P68" s="9">
        <v>49</v>
      </c>
      <c r="Q68" s="9">
        <f t="shared" si="2"/>
        <v>78</v>
      </c>
    </row>
    <row r="69" spans="2:17" x14ac:dyDescent="0.3">
      <c r="B69" s="9" t="s">
        <v>53</v>
      </c>
      <c r="C69" s="9">
        <v>0</v>
      </c>
      <c r="D69" s="9">
        <v>11</v>
      </c>
      <c r="E69" s="9">
        <v>2</v>
      </c>
      <c r="F69" s="9">
        <v>0</v>
      </c>
      <c r="G69" s="9">
        <v>7</v>
      </c>
      <c r="H69" s="9">
        <v>14</v>
      </c>
      <c r="I69" s="9">
        <v>0</v>
      </c>
      <c r="J69" s="9">
        <v>3</v>
      </c>
      <c r="K69" s="9">
        <v>0</v>
      </c>
      <c r="L69" s="9">
        <v>0</v>
      </c>
      <c r="M69" s="9">
        <v>0</v>
      </c>
      <c r="N69" s="9">
        <v>14</v>
      </c>
      <c r="O69" s="9">
        <v>0</v>
      </c>
      <c r="P69" s="9">
        <v>0</v>
      </c>
      <c r="Q69" s="9">
        <f t="shared" si="2"/>
        <v>51</v>
      </c>
    </row>
    <row r="70" spans="2:17" x14ac:dyDescent="0.3">
      <c r="B70" s="9" t="s">
        <v>54</v>
      </c>
      <c r="C70" s="9">
        <v>0</v>
      </c>
      <c r="D70" s="9">
        <v>0</v>
      </c>
      <c r="E70" s="9">
        <v>0</v>
      </c>
      <c r="F70" s="9">
        <v>0</v>
      </c>
      <c r="G70" s="9">
        <v>6</v>
      </c>
      <c r="H70" s="9">
        <v>110</v>
      </c>
      <c r="I70" s="9">
        <v>74</v>
      </c>
      <c r="J70" s="9">
        <v>6</v>
      </c>
      <c r="K70" s="9">
        <v>0</v>
      </c>
      <c r="L70" s="9">
        <v>144</v>
      </c>
      <c r="M70" s="9">
        <v>0</v>
      </c>
      <c r="N70" s="9">
        <v>985</v>
      </c>
      <c r="O70" s="9">
        <v>411</v>
      </c>
      <c r="P70" s="9">
        <v>421</v>
      </c>
      <c r="Q70" s="9">
        <f t="shared" si="2"/>
        <v>2157</v>
      </c>
    </row>
    <row r="71" spans="2:17" x14ac:dyDescent="0.3">
      <c r="B71" s="9" t="s">
        <v>55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4</v>
      </c>
      <c r="P71" s="9">
        <v>0</v>
      </c>
      <c r="Q71" s="9">
        <f t="shared" si="2"/>
        <v>4</v>
      </c>
    </row>
    <row r="72" spans="2:17" x14ac:dyDescent="0.3">
      <c r="B72" s="9" t="s">
        <v>209</v>
      </c>
      <c r="C72" s="9">
        <v>0</v>
      </c>
      <c r="D72" s="9">
        <v>2</v>
      </c>
      <c r="E72" s="9">
        <v>2</v>
      </c>
      <c r="F72" s="9">
        <v>0</v>
      </c>
      <c r="G72" s="9">
        <v>0</v>
      </c>
      <c r="H72" s="9">
        <v>1</v>
      </c>
      <c r="I72" s="9">
        <v>0</v>
      </c>
      <c r="J72" s="9">
        <v>0</v>
      </c>
      <c r="K72" s="9">
        <v>0</v>
      </c>
      <c r="L72" s="9">
        <v>9</v>
      </c>
      <c r="M72" s="9">
        <v>0</v>
      </c>
      <c r="N72" s="9">
        <v>0</v>
      </c>
      <c r="O72" s="9">
        <v>0</v>
      </c>
      <c r="P72" s="9">
        <v>0</v>
      </c>
      <c r="Q72" s="9">
        <f t="shared" si="2"/>
        <v>14</v>
      </c>
    </row>
    <row r="73" spans="2:17" x14ac:dyDescent="0.3">
      <c r="B73" s="9" t="s">
        <v>56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4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f t="shared" si="2"/>
        <v>4</v>
      </c>
    </row>
    <row r="74" spans="2:17" x14ac:dyDescent="0.3">
      <c r="B74" s="9" t="s">
        <v>57</v>
      </c>
      <c r="C74" s="9">
        <v>0</v>
      </c>
      <c r="D74" s="9">
        <v>1</v>
      </c>
      <c r="E74" s="9">
        <v>7</v>
      </c>
      <c r="F74" s="9">
        <v>0</v>
      </c>
      <c r="G74" s="9">
        <v>0</v>
      </c>
      <c r="H74" s="9">
        <v>0</v>
      </c>
      <c r="I74" s="9">
        <v>25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f t="shared" si="2"/>
        <v>33</v>
      </c>
    </row>
    <row r="75" spans="2:17" x14ac:dyDescent="0.3">
      <c r="B75" s="9" t="s">
        <v>210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f t="shared" si="2"/>
        <v>0</v>
      </c>
    </row>
    <row r="76" spans="2:17" x14ac:dyDescent="0.3">
      <c r="B76" s="9" t="s">
        <v>58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f t="shared" si="2"/>
        <v>0</v>
      </c>
    </row>
    <row r="77" spans="2:17" x14ac:dyDescent="0.3">
      <c r="B77" s="9" t="s">
        <v>211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f t="shared" si="2"/>
        <v>0</v>
      </c>
    </row>
    <row r="78" spans="2:17" x14ac:dyDescent="0.3">
      <c r="B78" s="9" t="s">
        <v>212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f t="shared" si="2"/>
        <v>0</v>
      </c>
    </row>
    <row r="79" spans="2:17" x14ac:dyDescent="0.3">
      <c r="B79" s="9" t="s">
        <v>213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f t="shared" si="2"/>
        <v>0</v>
      </c>
    </row>
    <row r="80" spans="2:17" x14ac:dyDescent="0.3">
      <c r="B80" s="9" t="s">
        <v>59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f t="shared" si="2"/>
        <v>0</v>
      </c>
    </row>
    <row r="81" spans="2:17" x14ac:dyDescent="0.3">
      <c r="B81" s="9" t="s">
        <v>214</v>
      </c>
      <c r="C81" s="9">
        <v>0</v>
      </c>
      <c r="D81" s="9">
        <v>0</v>
      </c>
      <c r="E81" s="9">
        <v>79</v>
      </c>
      <c r="F81" s="9">
        <v>0</v>
      </c>
      <c r="G81" s="9">
        <v>0</v>
      </c>
      <c r="H81" s="9">
        <v>0</v>
      </c>
      <c r="I81" s="9">
        <v>1</v>
      </c>
      <c r="J81" s="9">
        <v>114</v>
      </c>
      <c r="K81" s="9">
        <v>0</v>
      </c>
      <c r="L81" s="9">
        <v>0</v>
      </c>
      <c r="M81" s="9">
        <v>0</v>
      </c>
      <c r="N81" s="9">
        <v>12</v>
      </c>
      <c r="O81" s="9">
        <v>1236</v>
      </c>
      <c r="P81" s="9">
        <v>0</v>
      </c>
      <c r="Q81" s="9">
        <f t="shared" si="2"/>
        <v>1442</v>
      </c>
    </row>
    <row r="82" spans="2:17" x14ac:dyDescent="0.3">
      <c r="B82" s="9" t="s">
        <v>60</v>
      </c>
      <c r="C82" s="9">
        <v>0</v>
      </c>
      <c r="D82" s="9">
        <v>0</v>
      </c>
      <c r="E82" s="9">
        <v>16</v>
      </c>
      <c r="F82" s="9">
        <v>0</v>
      </c>
      <c r="G82" s="9">
        <v>1430</v>
      </c>
      <c r="H82" s="9">
        <v>0</v>
      </c>
      <c r="I82" s="9">
        <v>760</v>
      </c>
      <c r="J82" s="9">
        <v>18</v>
      </c>
      <c r="K82" s="9">
        <v>209</v>
      </c>
      <c r="L82" s="9">
        <v>23</v>
      </c>
      <c r="M82" s="9">
        <v>0</v>
      </c>
      <c r="N82" s="9">
        <v>0</v>
      </c>
      <c r="O82" s="9">
        <v>1172</v>
      </c>
      <c r="P82" s="9">
        <v>699</v>
      </c>
      <c r="Q82" s="9">
        <f t="shared" si="2"/>
        <v>4327</v>
      </c>
    </row>
    <row r="83" spans="2:17" x14ac:dyDescent="0.3">
      <c r="B83" s="9" t="s">
        <v>61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f t="shared" si="2"/>
        <v>0</v>
      </c>
    </row>
    <row r="84" spans="2:17" x14ac:dyDescent="0.3">
      <c r="B84" s="9" t="s">
        <v>78</v>
      </c>
      <c r="C84" s="9">
        <v>0</v>
      </c>
      <c r="D84" s="9">
        <v>0</v>
      </c>
      <c r="E84" s="9">
        <v>174</v>
      </c>
      <c r="F84" s="9">
        <v>0</v>
      </c>
      <c r="G84" s="9">
        <v>18</v>
      </c>
      <c r="H84" s="9">
        <v>0</v>
      </c>
      <c r="I84" s="9">
        <v>0</v>
      </c>
      <c r="J84" s="9">
        <v>0</v>
      </c>
      <c r="K84" s="9">
        <v>3</v>
      </c>
      <c r="L84" s="9">
        <v>0</v>
      </c>
      <c r="M84" s="9">
        <v>0</v>
      </c>
      <c r="N84" s="9">
        <v>3</v>
      </c>
      <c r="O84" s="9">
        <v>6004</v>
      </c>
      <c r="P84" s="9">
        <v>0</v>
      </c>
      <c r="Q84" s="9">
        <f t="shared" si="2"/>
        <v>6202</v>
      </c>
    </row>
    <row r="85" spans="2:17" x14ac:dyDescent="0.3">
      <c r="B85" s="9" t="s">
        <v>62</v>
      </c>
      <c r="C85" s="9">
        <v>0</v>
      </c>
      <c r="D85" s="9">
        <v>0</v>
      </c>
      <c r="E85" s="9">
        <v>94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f t="shared" si="2"/>
        <v>94</v>
      </c>
    </row>
    <row r="86" spans="2:17" x14ac:dyDescent="0.3">
      <c r="B86" s="9" t="s">
        <v>314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1183</v>
      </c>
      <c r="P86" s="9">
        <v>0</v>
      </c>
      <c r="Q86" s="9">
        <f t="shared" si="2"/>
        <v>1183</v>
      </c>
    </row>
    <row r="87" spans="2:17" x14ac:dyDescent="0.3">
      <c r="B87" s="9" t="s">
        <v>79</v>
      </c>
      <c r="C87" s="9">
        <v>30</v>
      </c>
      <c r="D87" s="9">
        <v>16</v>
      </c>
      <c r="E87" s="9">
        <v>1223</v>
      </c>
      <c r="F87" s="9">
        <v>30</v>
      </c>
      <c r="G87" s="9">
        <v>0</v>
      </c>
      <c r="H87" s="9">
        <v>0</v>
      </c>
      <c r="I87" s="9">
        <v>0</v>
      </c>
      <c r="J87" s="9">
        <v>250</v>
      </c>
      <c r="K87" s="9">
        <v>0</v>
      </c>
      <c r="L87" s="9">
        <v>0</v>
      </c>
      <c r="M87" s="9">
        <v>1133</v>
      </c>
      <c r="N87" s="9">
        <v>349</v>
      </c>
      <c r="O87" s="9">
        <v>49</v>
      </c>
      <c r="P87" s="9">
        <v>93</v>
      </c>
      <c r="Q87" s="9">
        <f t="shared" si="2"/>
        <v>3173</v>
      </c>
    </row>
    <row r="88" spans="2:17" x14ac:dyDescent="0.3">
      <c r="B88" s="9" t="s">
        <v>215</v>
      </c>
      <c r="C88" s="9">
        <v>0</v>
      </c>
      <c r="D88" s="9">
        <v>0</v>
      </c>
      <c r="E88" s="9">
        <v>14</v>
      </c>
      <c r="F88" s="9">
        <v>0</v>
      </c>
      <c r="G88" s="9">
        <v>0</v>
      </c>
      <c r="H88" s="9">
        <v>573</v>
      </c>
      <c r="I88" s="9">
        <v>322</v>
      </c>
      <c r="J88" s="9">
        <v>0</v>
      </c>
      <c r="K88" s="9">
        <v>0</v>
      </c>
      <c r="L88" s="9">
        <v>0</v>
      </c>
      <c r="M88" s="9">
        <v>0</v>
      </c>
      <c r="N88" s="9">
        <v>1119</v>
      </c>
      <c r="O88" s="9">
        <v>1164</v>
      </c>
      <c r="P88" s="9">
        <v>4</v>
      </c>
      <c r="Q88" s="9">
        <f t="shared" si="2"/>
        <v>3196</v>
      </c>
    </row>
    <row r="89" spans="2:17" x14ac:dyDescent="0.3">
      <c r="B89" s="9" t="s">
        <v>63</v>
      </c>
      <c r="C89" s="9">
        <v>1364</v>
      </c>
      <c r="D89" s="9">
        <v>40903</v>
      </c>
      <c r="E89" s="9">
        <v>26422</v>
      </c>
      <c r="F89" s="9">
        <v>0</v>
      </c>
      <c r="G89" s="9">
        <v>0</v>
      </c>
      <c r="H89" s="9">
        <v>1577</v>
      </c>
      <c r="I89" s="9">
        <v>3124</v>
      </c>
      <c r="J89" s="9">
        <v>15846</v>
      </c>
      <c r="K89" s="9">
        <v>481</v>
      </c>
      <c r="L89" s="9">
        <v>3194</v>
      </c>
      <c r="M89" s="9">
        <v>13914</v>
      </c>
      <c r="N89" s="9">
        <v>7682</v>
      </c>
      <c r="O89" s="9">
        <v>439</v>
      </c>
      <c r="P89" s="9">
        <v>4</v>
      </c>
      <c r="Q89" s="9">
        <f t="shared" si="2"/>
        <v>114950</v>
      </c>
    </row>
    <row r="90" spans="2:17" x14ac:dyDescent="0.3">
      <c r="B90" s="9" t="s">
        <v>216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252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250</v>
      </c>
      <c r="P90" s="9">
        <v>0</v>
      </c>
      <c r="Q90" s="9">
        <f t="shared" si="2"/>
        <v>502</v>
      </c>
    </row>
    <row r="91" spans="2:17" x14ac:dyDescent="0.3">
      <c r="B91" s="9" t="s">
        <v>64</v>
      </c>
      <c r="C91" s="9">
        <v>0</v>
      </c>
      <c r="D91" s="9">
        <v>0</v>
      </c>
      <c r="E91" s="9">
        <v>9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990</v>
      </c>
      <c r="M91" s="9">
        <v>0</v>
      </c>
      <c r="N91" s="9">
        <v>0</v>
      </c>
      <c r="O91" s="9">
        <v>566</v>
      </c>
      <c r="P91" s="9">
        <v>0</v>
      </c>
      <c r="Q91" s="9">
        <f t="shared" si="2"/>
        <v>1565</v>
      </c>
    </row>
    <row r="92" spans="2:17" x14ac:dyDescent="0.3">
      <c r="B92" s="9" t="s">
        <v>65</v>
      </c>
      <c r="C92" s="9">
        <v>163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500</v>
      </c>
      <c r="P92" s="9">
        <v>0</v>
      </c>
      <c r="Q92" s="9">
        <f t="shared" si="2"/>
        <v>663</v>
      </c>
    </row>
    <row r="93" spans="2:17" x14ac:dyDescent="0.3">
      <c r="B93" s="9" t="s">
        <v>217</v>
      </c>
      <c r="C93" s="9">
        <v>0</v>
      </c>
      <c r="D93" s="9">
        <v>186</v>
      </c>
      <c r="E93" s="9">
        <v>999</v>
      </c>
      <c r="F93" s="9">
        <v>0</v>
      </c>
      <c r="G93" s="9">
        <v>212</v>
      </c>
      <c r="H93" s="9">
        <v>0</v>
      </c>
      <c r="I93" s="9">
        <v>445</v>
      </c>
      <c r="J93" s="9">
        <v>481</v>
      </c>
      <c r="K93" s="9">
        <v>0</v>
      </c>
      <c r="L93" s="9">
        <v>0</v>
      </c>
      <c r="M93" s="9">
        <v>2085</v>
      </c>
      <c r="N93" s="9">
        <v>2330</v>
      </c>
      <c r="O93" s="9">
        <v>4821</v>
      </c>
      <c r="P93" s="9">
        <v>122</v>
      </c>
      <c r="Q93" s="9">
        <f t="shared" si="2"/>
        <v>11681</v>
      </c>
    </row>
    <row r="94" spans="2:17" ht="15" thickBot="1" x14ac:dyDescent="0.35">
      <c r="B94" s="28" t="s">
        <v>66</v>
      </c>
      <c r="C94" s="28">
        <v>0</v>
      </c>
      <c r="D94" s="28">
        <v>0</v>
      </c>
      <c r="E94" s="28">
        <v>41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8">
        <v>0</v>
      </c>
      <c r="N94" s="28">
        <v>0</v>
      </c>
      <c r="O94" s="28">
        <v>0</v>
      </c>
      <c r="P94" s="28">
        <v>0</v>
      </c>
      <c r="Q94" s="28">
        <f t="shared" si="2"/>
        <v>41</v>
      </c>
    </row>
    <row r="95" spans="2:17" x14ac:dyDescent="0.3">
      <c r="B95" s="27" t="s">
        <v>269</v>
      </c>
      <c r="C95" s="27">
        <f t="shared" ref="C95:Q95" si="3">SUM(C54:C94)</f>
        <v>104491</v>
      </c>
      <c r="D95" s="27">
        <f t="shared" si="3"/>
        <v>132253</v>
      </c>
      <c r="E95" s="27">
        <f t="shared" si="3"/>
        <v>220805</v>
      </c>
      <c r="F95" s="27">
        <f t="shared" si="3"/>
        <v>16824</v>
      </c>
      <c r="G95" s="27">
        <f t="shared" si="3"/>
        <v>38602</v>
      </c>
      <c r="H95" s="27">
        <f t="shared" si="3"/>
        <v>19376</v>
      </c>
      <c r="I95" s="27">
        <f t="shared" si="3"/>
        <v>188189</v>
      </c>
      <c r="J95" s="27">
        <f t="shared" si="3"/>
        <v>37428</v>
      </c>
      <c r="K95" s="27">
        <f t="shared" si="3"/>
        <v>16295</v>
      </c>
      <c r="L95" s="27">
        <f t="shared" si="3"/>
        <v>57252</v>
      </c>
      <c r="M95" s="27">
        <f t="shared" si="3"/>
        <v>24155</v>
      </c>
      <c r="N95" s="27">
        <f t="shared" si="3"/>
        <v>141330</v>
      </c>
      <c r="O95" s="27">
        <f t="shared" si="3"/>
        <v>23444</v>
      </c>
      <c r="P95" s="27">
        <f t="shared" si="3"/>
        <v>17487</v>
      </c>
      <c r="Q95" s="27">
        <f t="shared" si="3"/>
        <v>1037931</v>
      </c>
    </row>
    <row r="96" spans="2:17" x14ac:dyDescent="0.3">
      <c r="B96" s="8" t="s">
        <v>226</v>
      </c>
      <c r="C96" s="23">
        <f>C95 / Q95</f>
        <v>0.10067239537117592</v>
      </c>
      <c r="D96" s="23">
        <f>D95 / Q95</f>
        <v>0.12741983812026039</v>
      </c>
      <c r="E96" s="23">
        <f>E95 / Q95</f>
        <v>0.21273572135334623</v>
      </c>
      <c r="F96" s="23">
        <f>F95 / Q95</f>
        <v>1.6209169973726578E-2</v>
      </c>
      <c r="G96" s="23">
        <f>G95 / Q95</f>
        <v>3.7191296916654383E-2</v>
      </c>
      <c r="H96" s="23">
        <f>H95 / Q95</f>
        <v>1.8667907596940453E-2</v>
      </c>
      <c r="I96" s="23">
        <f>I95 / Q95</f>
        <v>0.18131166715321154</v>
      </c>
      <c r="J96" s="23">
        <f>J95 / Q95</f>
        <v>3.606020053356148E-2</v>
      </c>
      <c r="K96" s="23">
        <f>K95 / Q95</f>
        <v>1.5699502182707714E-2</v>
      </c>
      <c r="L96" s="23">
        <f>L95 / Q95</f>
        <v>5.5159736051818474E-2</v>
      </c>
      <c r="M96" s="23">
        <f>M95 / Q95</f>
        <v>2.3272259909377407E-2</v>
      </c>
      <c r="N96" s="23">
        <f>N95 / Q95</f>
        <v>0.13616512080282794</v>
      </c>
      <c r="O96" s="23">
        <f>O95 / Q95</f>
        <v>2.2587243275323698E-2</v>
      </c>
      <c r="P96" s="23">
        <f>P95 / Q95</f>
        <v>1.68479407590678E-2</v>
      </c>
      <c r="Q96" s="23">
        <f>Q95 / Q95</f>
        <v>1</v>
      </c>
    </row>
    <row r="97" spans="2:21" ht="14.25" customHeight="1" x14ac:dyDescent="0.3"/>
    <row r="98" spans="2:21" x14ac:dyDescent="0.3">
      <c r="B98" s="11" t="s">
        <v>257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</row>
    <row r="99" spans="2:21" x14ac:dyDescent="0.3"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</row>
    <row r="100" spans="2:21" s="7" customFormat="1" ht="90" customHeight="1" x14ac:dyDescent="0.3">
      <c r="B100" s="20" t="s">
        <v>1</v>
      </c>
      <c r="C100" s="20" t="s">
        <v>0</v>
      </c>
      <c r="D100" s="20" t="s">
        <v>234</v>
      </c>
      <c r="E100" s="20" t="s">
        <v>109</v>
      </c>
      <c r="F100" s="20" t="s">
        <v>235</v>
      </c>
      <c r="G100" s="20" t="s">
        <v>233</v>
      </c>
      <c r="H100" s="20" t="s">
        <v>236</v>
      </c>
      <c r="I100" s="20" t="s">
        <v>111</v>
      </c>
      <c r="J100" s="20" t="s">
        <v>25</v>
      </c>
      <c r="K100" s="20" t="s">
        <v>237</v>
      </c>
      <c r="L100" s="20" t="s">
        <v>175</v>
      </c>
      <c r="M100" s="20" t="s">
        <v>27</v>
      </c>
      <c r="N100" s="20" t="s">
        <v>238</v>
      </c>
      <c r="O100" s="20" t="s">
        <v>112</v>
      </c>
      <c r="P100" s="20" t="s">
        <v>70</v>
      </c>
      <c r="Q100" s="20" t="s">
        <v>29</v>
      </c>
      <c r="R100" s="20" t="s">
        <v>232</v>
      </c>
      <c r="S100" s="20" t="s">
        <v>231</v>
      </c>
      <c r="T100" s="20" t="s">
        <v>113</v>
      </c>
      <c r="U100" s="21" t="s">
        <v>224</v>
      </c>
    </row>
    <row r="101" spans="2:21" x14ac:dyDescent="0.3">
      <c r="B101" s="9" t="s">
        <v>41</v>
      </c>
      <c r="C101" s="9">
        <v>104900</v>
      </c>
      <c r="D101" s="9">
        <v>21899</v>
      </c>
      <c r="E101" s="9">
        <v>6804</v>
      </c>
      <c r="F101" s="9">
        <v>28539</v>
      </c>
      <c r="G101" s="9">
        <v>5277</v>
      </c>
      <c r="H101" s="9">
        <v>4083</v>
      </c>
      <c r="I101" s="9">
        <v>1419</v>
      </c>
      <c r="J101" s="9">
        <v>17117</v>
      </c>
      <c r="K101" s="9">
        <v>1504</v>
      </c>
      <c r="L101" s="9">
        <v>2182</v>
      </c>
      <c r="M101" s="9">
        <v>9441</v>
      </c>
      <c r="N101" s="9">
        <v>1222</v>
      </c>
      <c r="O101" s="9">
        <v>1285</v>
      </c>
      <c r="P101" s="9">
        <v>0</v>
      </c>
      <c r="Q101" s="9">
        <v>801</v>
      </c>
      <c r="R101" s="9">
        <v>507</v>
      </c>
      <c r="S101" s="9">
        <v>0</v>
      </c>
      <c r="T101" s="9">
        <v>3051</v>
      </c>
      <c r="U101" s="9">
        <f t="shared" ref="U101:U141" si="4">SUM(C101:T101)</f>
        <v>210031</v>
      </c>
    </row>
    <row r="102" spans="2:21" x14ac:dyDescent="0.3">
      <c r="B102" s="9" t="s">
        <v>76</v>
      </c>
      <c r="C102" s="9">
        <v>727</v>
      </c>
      <c r="D102" s="9">
        <v>1557</v>
      </c>
      <c r="E102" s="9">
        <v>1350</v>
      </c>
      <c r="F102" s="9">
        <v>3476</v>
      </c>
      <c r="G102" s="9">
        <v>93</v>
      </c>
      <c r="H102" s="9">
        <v>1000</v>
      </c>
      <c r="I102" s="9">
        <v>463</v>
      </c>
      <c r="J102" s="9">
        <v>1538</v>
      </c>
      <c r="K102" s="9">
        <v>188</v>
      </c>
      <c r="L102" s="9">
        <v>682</v>
      </c>
      <c r="M102" s="9">
        <v>159</v>
      </c>
      <c r="N102" s="9">
        <v>3</v>
      </c>
      <c r="O102" s="9">
        <v>315</v>
      </c>
      <c r="P102" s="9">
        <v>0</v>
      </c>
      <c r="Q102" s="9">
        <v>42</v>
      </c>
      <c r="R102" s="9">
        <v>13</v>
      </c>
      <c r="S102" s="9">
        <v>0</v>
      </c>
      <c r="T102" s="9">
        <v>1348</v>
      </c>
      <c r="U102" s="9">
        <f t="shared" si="4"/>
        <v>12954</v>
      </c>
    </row>
    <row r="103" spans="2:21" x14ac:dyDescent="0.3">
      <c r="B103" s="9" t="s">
        <v>42</v>
      </c>
      <c r="C103" s="9">
        <v>0</v>
      </c>
      <c r="D103" s="9">
        <v>73</v>
      </c>
      <c r="E103" s="9">
        <v>58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90</v>
      </c>
      <c r="M103" s="9">
        <v>0</v>
      </c>
      <c r="N103" s="9">
        <v>0</v>
      </c>
      <c r="O103" s="9">
        <v>10</v>
      </c>
      <c r="P103" s="9">
        <v>0</v>
      </c>
      <c r="Q103" s="9">
        <v>0</v>
      </c>
      <c r="R103" s="9">
        <v>8</v>
      </c>
      <c r="S103" s="9">
        <v>0</v>
      </c>
      <c r="T103" s="9">
        <v>0</v>
      </c>
      <c r="U103" s="9">
        <f t="shared" si="4"/>
        <v>239</v>
      </c>
    </row>
    <row r="104" spans="2:21" x14ac:dyDescent="0.3">
      <c r="B104" s="9" t="s">
        <v>43</v>
      </c>
      <c r="C104" s="9">
        <v>0</v>
      </c>
      <c r="D104" s="9">
        <v>1260</v>
      </c>
      <c r="E104" s="9">
        <v>2</v>
      </c>
      <c r="F104" s="9">
        <v>330</v>
      </c>
      <c r="G104" s="9">
        <v>326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33</v>
      </c>
      <c r="U104" s="9">
        <f t="shared" si="4"/>
        <v>1951</v>
      </c>
    </row>
    <row r="105" spans="2:21" x14ac:dyDescent="0.3">
      <c r="B105" s="9" t="s">
        <v>44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f t="shared" si="4"/>
        <v>0</v>
      </c>
    </row>
    <row r="106" spans="2:21" x14ac:dyDescent="0.3">
      <c r="B106" s="9" t="s">
        <v>45</v>
      </c>
      <c r="C106" s="9">
        <v>0</v>
      </c>
      <c r="D106" s="9">
        <v>833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937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f t="shared" si="4"/>
        <v>1770</v>
      </c>
    </row>
    <row r="107" spans="2:21" x14ac:dyDescent="0.3">
      <c r="B107" s="9" t="s">
        <v>207</v>
      </c>
      <c r="C107" s="9">
        <v>0</v>
      </c>
      <c r="D107" s="9">
        <v>409</v>
      </c>
      <c r="E107" s="9">
        <v>0</v>
      </c>
      <c r="F107" s="9">
        <v>0</v>
      </c>
      <c r="G107" s="9">
        <v>0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22</v>
      </c>
      <c r="P107" s="9">
        <v>0</v>
      </c>
      <c r="Q107" s="9">
        <v>0</v>
      </c>
      <c r="R107" s="9">
        <v>0</v>
      </c>
      <c r="S107" s="9">
        <v>0</v>
      </c>
      <c r="T107" s="9">
        <v>0</v>
      </c>
      <c r="U107" s="9">
        <f t="shared" si="4"/>
        <v>431</v>
      </c>
    </row>
    <row r="108" spans="2:21" x14ac:dyDescent="0.3">
      <c r="B108" s="9" t="s">
        <v>46</v>
      </c>
      <c r="C108" s="9">
        <v>9</v>
      </c>
      <c r="D108" s="9">
        <v>46</v>
      </c>
      <c r="E108" s="9">
        <v>72</v>
      </c>
      <c r="F108" s="9">
        <v>22</v>
      </c>
      <c r="G108" s="9">
        <v>4</v>
      </c>
      <c r="H108" s="9">
        <v>12</v>
      </c>
      <c r="I108" s="9">
        <v>88</v>
      </c>
      <c r="J108" s="9">
        <v>74</v>
      </c>
      <c r="K108" s="9">
        <v>6</v>
      </c>
      <c r="L108" s="9">
        <v>55</v>
      </c>
      <c r="M108" s="9">
        <v>0</v>
      </c>
      <c r="N108" s="9">
        <v>0</v>
      </c>
      <c r="O108" s="9">
        <v>145</v>
      </c>
      <c r="P108" s="9">
        <v>0</v>
      </c>
      <c r="Q108" s="9">
        <v>0</v>
      </c>
      <c r="R108" s="9">
        <v>33</v>
      </c>
      <c r="S108" s="9">
        <v>0</v>
      </c>
      <c r="T108" s="9">
        <v>0</v>
      </c>
      <c r="U108" s="9">
        <f t="shared" si="4"/>
        <v>566</v>
      </c>
    </row>
    <row r="109" spans="2:21" x14ac:dyDescent="0.3">
      <c r="B109" s="9" t="s">
        <v>47</v>
      </c>
      <c r="C109" s="9">
        <v>0</v>
      </c>
      <c r="D109" s="9">
        <v>0</v>
      </c>
      <c r="E109" s="9">
        <v>0</v>
      </c>
      <c r="F109" s="9">
        <v>0</v>
      </c>
      <c r="G109" s="9">
        <v>0</v>
      </c>
      <c r="H109" s="9">
        <v>0</v>
      </c>
      <c r="I109" s="9">
        <v>0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9">
        <v>105</v>
      </c>
      <c r="P109" s="9">
        <v>21</v>
      </c>
      <c r="Q109" s="9">
        <v>0</v>
      </c>
      <c r="R109" s="9">
        <v>0</v>
      </c>
      <c r="S109" s="9">
        <v>0</v>
      </c>
      <c r="T109" s="9">
        <v>0</v>
      </c>
      <c r="U109" s="9">
        <f t="shared" si="4"/>
        <v>126</v>
      </c>
    </row>
    <row r="110" spans="2:21" x14ac:dyDescent="0.3">
      <c r="B110" s="9" t="s">
        <v>48</v>
      </c>
      <c r="C110" s="9">
        <v>21</v>
      </c>
      <c r="D110" s="9">
        <v>0</v>
      </c>
      <c r="E110" s="9">
        <v>8</v>
      </c>
      <c r="F110" s="9">
        <v>84</v>
      </c>
      <c r="G110" s="9">
        <v>0</v>
      </c>
      <c r="H110" s="9">
        <v>0</v>
      </c>
      <c r="I110" s="9">
        <v>0</v>
      </c>
      <c r="J110" s="9">
        <v>62</v>
      </c>
      <c r="K110" s="9">
        <v>0</v>
      </c>
      <c r="L110" s="9">
        <v>23</v>
      </c>
      <c r="M110" s="9">
        <v>78</v>
      </c>
      <c r="N110" s="9">
        <v>0</v>
      </c>
      <c r="O110" s="9">
        <v>376</v>
      </c>
      <c r="P110" s="9">
        <v>4</v>
      </c>
      <c r="Q110" s="9">
        <v>0</v>
      </c>
      <c r="R110" s="9">
        <v>0</v>
      </c>
      <c r="S110" s="9">
        <v>0</v>
      </c>
      <c r="T110" s="9">
        <v>1</v>
      </c>
      <c r="U110" s="9">
        <f t="shared" si="4"/>
        <v>657</v>
      </c>
    </row>
    <row r="111" spans="2:21" x14ac:dyDescent="0.3">
      <c r="B111" s="9" t="s">
        <v>49</v>
      </c>
      <c r="C111" s="9">
        <v>0</v>
      </c>
      <c r="D111" s="9">
        <v>48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v>0</v>
      </c>
      <c r="O111" s="9">
        <v>0</v>
      </c>
      <c r="P111" s="9">
        <v>0</v>
      </c>
      <c r="Q111" s="9">
        <v>0</v>
      </c>
      <c r="R111" s="9">
        <v>0</v>
      </c>
      <c r="S111" s="9">
        <v>0</v>
      </c>
      <c r="T111" s="9">
        <v>0</v>
      </c>
      <c r="U111" s="9">
        <f t="shared" si="4"/>
        <v>48</v>
      </c>
    </row>
    <row r="112" spans="2:21" x14ac:dyDescent="0.3">
      <c r="B112" s="9" t="s">
        <v>208</v>
      </c>
      <c r="C112" s="9">
        <v>0</v>
      </c>
      <c r="D112" s="9">
        <v>0</v>
      </c>
      <c r="E112" s="9">
        <v>0</v>
      </c>
      <c r="F112" s="9">
        <v>0</v>
      </c>
      <c r="G112" s="9">
        <v>0</v>
      </c>
      <c r="H112" s="9">
        <v>0</v>
      </c>
      <c r="I112" s="9">
        <v>0</v>
      </c>
      <c r="J112" s="9">
        <v>0</v>
      </c>
      <c r="K112" s="9">
        <v>0</v>
      </c>
      <c r="L112" s="9">
        <v>0</v>
      </c>
      <c r="M112" s="9">
        <v>0</v>
      </c>
      <c r="N112" s="9">
        <v>0</v>
      </c>
      <c r="O112" s="9">
        <v>0</v>
      </c>
      <c r="P112" s="9">
        <v>0</v>
      </c>
      <c r="Q112" s="9">
        <v>0</v>
      </c>
      <c r="R112" s="9">
        <v>0</v>
      </c>
      <c r="S112" s="9">
        <v>0</v>
      </c>
      <c r="T112" s="9">
        <v>0</v>
      </c>
      <c r="U112" s="9">
        <f t="shared" si="4"/>
        <v>0</v>
      </c>
    </row>
    <row r="113" spans="2:21" x14ac:dyDescent="0.3">
      <c r="B113" s="9" t="s">
        <v>50</v>
      </c>
      <c r="C113" s="9">
        <v>0</v>
      </c>
      <c r="D113" s="9">
        <v>0</v>
      </c>
      <c r="E113" s="9">
        <v>0</v>
      </c>
      <c r="F113" s="9">
        <v>0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6</v>
      </c>
      <c r="O113" s="9">
        <v>714</v>
      </c>
      <c r="P113" s="9">
        <v>0</v>
      </c>
      <c r="Q113" s="9">
        <v>0</v>
      </c>
      <c r="R113" s="9">
        <v>0</v>
      </c>
      <c r="S113" s="9">
        <v>0</v>
      </c>
      <c r="T113" s="9">
        <v>0</v>
      </c>
      <c r="U113" s="9">
        <f t="shared" si="4"/>
        <v>720</v>
      </c>
    </row>
    <row r="114" spans="2:21" x14ac:dyDescent="0.3">
      <c r="B114" s="9" t="s">
        <v>51</v>
      </c>
      <c r="C114" s="9">
        <v>120</v>
      </c>
      <c r="D114" s="9">
        <v>2</v>
      </c>
      <c r="E114" s="9">
        <v>627</v>
      </c>
      <c r="F114" s="9">
        <v>32</v>
      </c>
      <c r="G114" s="9">
        <v>142</v>
      </c>
      <c r="H114" s="9">
        <v>74</v>
      </c>
      <c r="I114" s="9">
        <v>91</v>
      </c>
      <c r="J114" s="9">
        <v>38</v>
      </c>
      <c r="K114" s="9">
        <v>40</v>
      </c>
      <c r="L114" s="9">
        <v>32</v>
      </c>
      <c r="M114" s="9">
        <v>145</v>
      </c>
      <c r="N114" s="9">
        <v>195</v>
      </c>
      <c r="O114" s="9">
        <v>1586</v>
      </c>
      <c r="P114" s="9">
        <v>363</v>
      </c>
      <c r="Q114" s="9">
        <v>2375</v>
      </c>
      <c r="R114" s="9">
        <v>30</v>
      </c>
      <c r="S114" s="9">
        <v>0</v>
      </c>
      <c r="T114" s="9">
        <v>8</v>
      </c>
      <c r="U114" s="9">
        <f t="shared" si="4"/>
        <v>5900</v>
      </c>
    </row>
    <row r="115" spans="2:21" x14ac:dyDescent="0.3">
      <c r="B115" s="9" t="s">
        <v>52</v>
      </c>
      <c r="C115" s="9">
        <v>0</v>
      </c>
      <c r="D115" s="9">
        <v>4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  <c r="L115" s="9">
        <v>0</v>
      </c>
      <c r="M115" s="9">
        <v>0</v>
      </c>
      <c r="N115" s="9">
        <v>0</v>
      </c>
      <c r="O115" s="9">
        <v>18</v>
      </c>
      <c r="P115" s="9">
        <v>0</v>
      </c>
      <c r="Q115" s="9">
        <v>0</v>
      </c>
      <c r="R115" s="9">
        <v>4</v>
      </c>
      <c r="S115" s="9">
        <v>0</v>
      </c>
      <c r="T115" s="9">
        <v>16</v>
      </c>
      <c r="U115" s="9">
        <f t="shared" si="4"/>
        <v>42</v>
      </c>
    </row>
    <row r="116" spans="2:21" x14ac:dyDescent="0.3">
      <c r="B116" s="9" t="s">
        <v>53</v>
      </c>
      <c r="C116" s="9">
        <v>0</v>
      </c>
      <c r="D116" s="9">
        <v>1</v>
      </c>
      <c r="E116" s="9">
        <v>54</v>
      </c>
      <c r="F116" s="9">
        <v>2</v>
      </c>
      <c r="G116" s="9">
        <v>0</v>
      </c>
      <c r="H116" s="9">
        <v>0</v>
      </c>
      <c r="I116" s="9">
        <v>31</v>
      </c>
      <c r="J116" s="9">
        <v>0</v>
      </c>
      <c r="K116" s="9">
        <v>114</v>
      </c>
      <c r="L116" s="9">
        <v>26</v>
      </c>
      <c r="M116" s="9">
        <v>0</v>
      </c>
      <c r="N116" s="9">
        <v>0</v>
      </c>
      <c r="O116" s="9">
        <v>853</v>
      </c>
      <c r="P116" s="9">
        <v>8</v>
      </c>
      <c r="Q116" s="9">
        <v>0</v>
      </c>
      <c r="R116" s="9">
        <v>607</v>
      </c>
      <c r="S116" s="9">
        <v>0</v>
      </c>
      <c r="T116" s="9">
        <v>0</v>
      </c>
      <c r="U116" s="9">
        <f t="shared" si="4"/>
        <v>1696</v>
      </c>
    </row>
    <row r="117" spans="2:21" x14ac:dyDescent="0.3">
      <c r="B117" s="9" t="s">
        <v>54</v>
      </c>
      <c r="C117" s="9">
        <v>0</v>
      </c>
      <c r="D117" s="9">
        <v>0</v>
      </c>
      <c r="E117" s="9">
        <v>0</v>
      </c>
      <c r="F117" s="9">
        <v>0</v>
      </c>
      <c r="G117" s="9">
        <v>0</v>
      </c>
      <c r="H117" s="9">
        <v>0</v>
      </c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9">
        <v>2780</v>
      </c>
      <c r="P117" s="9">
        <v>181</v>
      </c>
      <c r="Q117" s="9">
        <v>41</v>
      </c>
      <c r="R117" s="9">
        <v>10</v>
      </c>
      <c r="S117" s="9">
        <v>0</v>
      </c>
      <c r="T117" s="9">
        <v>4</v>
      </c>
      <c r="U117" s="9">
        <f t="shared" si="4"/>
        <v>3016</v>
      </c>
    </row>
    <row r="118" spans="2:21" x14ac:dyDescent="0.3">
      <c r="B118" s="9" t="s">
        <v>55</v>
      </c>
      <c r="C118" s="9">
        <v>0</v>
      </c>
      <c r="D118" s="9">
        <v>0</v>
      </c>
      <c r="E118" s="9">
        <v>0</v>
      </c>
      <c r="F118" s="9">
        <v>0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0</v>
      </c>
      <c r="N118" s="9">
        <v>0</v>
      </c>
      <c r="O118" s="9">
        <v>0</v>
      </c>
      <c r="P118" s="9">
        <v>0</v>
      </c>
      <c r="Q118" s="9">
        <v>0</v>
      </c>
      <c r="R118" s="9">
        <v>0</v>
      </c>
      <c r="S118" s="9">
        <v>0</v>
      </c>
      <c r="T118" s="9">
        <v>0</v>
      </c>
      <c r="U118" s="9">
        <f t="shared" si="4"/>
        <v>0</v>
      </c>
    </row>
    <row r="119" spans="2:21" x14ac:dyDescent="0.3">
      <c r="B119" s="9" t="s">
        <v>209</v>
      </c>
      <c r="C119" s="9">
        <v>4</v>
      </c>
      <c r="D119" s="9">
        <v>0</v>
      </c>
      <c r="E119" s="9">
        <v>0</v>
      </c>
      <c r="F119" s="9">
        <v>0</v>
      </c>
      <c r="G119" s="9">
        <v>0</v>
      </c>
      <c r="H119" s="9">
        <v>0</v>
      </c>
      <c r="I119" s="9">
        <v>0</v>
      </c>
      <c r="J119" s="9">
        <v>0</v>
      </c>
      <c r="K119" s="9">
        <v>0</v>
      </c>
      <c r="L119" s="9">
        <v>8</v>
      </c>
      <c r="M119" s="9">
        <v>0</v>
      </c>
      <c r="N119" s="9">
        <v>0</v>
      </c>
      <c r="O119" s="9">
        <v>0</v>
      </c>
      <c r="P119" s="9">
        <v>0</v>
      </c>
      <c r="Q119" s="9">
        <v>0</v>
      </c>
      <c r="R119" s="9">
        <v>0</v>
      </c>
      <c r="S119" s="9">
        <v>0</v>
      </c>
      <c r="T119" s="9">
        <v>0</v>
      </c>
      <c r="U119" s="9">
        <f t="shared" si="4"/>
        <v>12</v>
      </c>
    </row>
    <row r="120" spans="2:21" x14ac:dyDescent="0.3">
      <c r="B120" s="9" t="s">
        <v>56</v>
      </c>
      <c r="C120" s="9">
        <v>0</v>
      </c>
      <c r="D120" s="9">
        <v>0</v>
      </c>
      <c r="E120" s="9">
        <v>0</v>
      </c>
      <c r="F120" s="9">
        <v>10</v>
      </c>
      <c r="G120" s="9">
        <v>0</v>
      </c>
      <c r="H120" s="9">
        <v>0</v>
      </c>
      <c r="I120" s="9">
        <v>0</v>
      </c>
      <c r="J120" s="9">
        <v>15</v>
      </c>
      <c r="K120" s="9">
        <v>0</v>
      </c>
      <c r="L120" s="9">
        <v>21</v>
      </c>
      <c r="M120" s="9">
        <v>24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f t="shared" si="4"/>
        <v>70</v>
      </c>
    </row>
    <row r="121" spans="2:21" x14ac:dyDescent="0.3">
      <c r="B121" s="9" t="s">
        <v>57</v>
      </c>
      <c r="C121" s="9">
        <v>1</v>
      </c>
      <c r="D121" s="9">
        <v>17</v>
      </c>
      <c r="E121" s="9">
        <v>1</v>
      </c>
      <c r="F121" s="9">
        <v>0</v>
      </c>
      <c r="G121" s="9">
        <v>0</v>
      </c>
      <c r="H121" s="9">
        <v>0</v>
      </c>
      <c r="I121" s="9">
        <v>0</v>
      </c>
      <c r="J121" s="9">
        <v>0</v>
      </c>
      <c r="K121" s="9">
        <v>1</v>
      </c>
      <c r="L121" s="9">
        <v>0</v>
      </c>
      <c r="M121" s="9">
        <v>0</v>
      </c>
      <c r="N121" s="9">
        <v>9</v>
      </c>
      <c r="O121" s="9">
        <v>0</v>
      </c>
      <c r="P121" s="9">
        <v>0</v>
      </c>
      <c r="Q121" s="9">
        <v>0</v>
      </c>
      <c r="R121" s="9">
        <v>0</v>
      </c>
      <c r="S121" s="9">
        <v>0</v>
      </c>
      <c r="T121" s="9">
        <v>0</v>
      </c>
      <c r="U121" s="9">
        <f t="shared" si="4"/>
        <v>29</v>
      </c>
    </row>
    <row r="122" spans="2:21" x14ac:dyDescent="0.3">
      <c r="B122" s="9" t="s">
        <v>210</v>
      </c>
      <c r="C122" s="9">
        <v>0</v>
      </c>
      <c r="D122" s="9">
        <v>4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v>0</v>
      </c>
      <c r="M122" s="9">
        <v>0</v>
      </c>
      <c r="N122" s="9">
        <v>0</v>
      </c>
      <c r="O122" s="9">
        <v>0</v>
      </c>
      <c r="P122" s="9">
        <v>0</v>
      </c>
      <c r="Q122" s="9">
        <v>0</v>
      </c>
      <c r="R122" s="9">
        <v>0</v>
      </c>
      <c r="S122" s="9">
        <v>0</v>
      </c>
      <c r="T122" s="9">
        <v>0</v>
      </c>
      <c r="U122" s="9">
        <f t="shared" si="4"/>
        <v>4</v>
      </c>
    </row>
    <row r="123" spans="2:21" x14ac:dyDescent="0.3">
      <c r="B123" s="9" t="s">
        <v>58</v>
      </c>
      <c r="C123" s="9">
        <v>0</v>
      </c>
      <c r="D123" s="9">
        <v>0</v>
      </c>
      <c r="E123" s="9">
        <v>6</v>
      </c>
      <c r="F123" s="9">
        <v>0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9">
        <v>0</v>
      </c>
      <c r="P123" s="9">
        <v>0</v>
      </c>
      <c r="Q123" s="9">
        <v>0</v>
      </c>
      <c r="R123" s="9">
        <v>0</v>
      </c>
      <c r="S123" s="9">
        <v>0</v>
      </c>
      <c r="T123" s="9">
        <v>0</v>
      </c>
      <c r="U123" s="9">
        <f t="shared" si="4"/>
        <v>6</v>
      </c>
    </row>
    <row r="124" spans="2:21" x14ac:dyDescent="0.3">
      <c r="B124" s="9" t="s">
        <v>211</v>
      </c>
      <c r="C124" s="9">
        <v>0</v>
      </c>
      <c r="D124" s="9">
        <v>3</v>
      </c>
      <c r="E124" s="9">
        <v>0</v>
      </c>
      <c r="F124" s="9">
        <v>0</v>
      </c>
      <c r="G124" s="9">
        <v>0</v>
      </c>
      <c r="H124" s="9">
        <v>0</v>
      </c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f t="shared" si="4"/>
        <v>3</v>
      </c>
    </row>
    <row r="125" spans="2:21" x14ac:dyDescent="0.3">
      <c r="B125" s="9" t="s">
        <v>212</v>
      </c>
      <c r="C125" s="9">
        <v>0</v>
      </c>
      <c r="D125" s="9">
        <v>2</v>
      </c>
      <c r="E125" s="9">
        <v>0</v>
      </c>
      <c r="F125" s="9">
        <v>0</v>
      </c>
      <c r="G125" s="9">
        <v>0</v>
      </c>
      <c r="H125" s="9">
        <v>0</v>
      </c>
      <c r="I125" s="9">
        <v>0</v>
      </c>
      <c r="J125" s="9">
        <v>0</v>
      </c>
      <c r="K125" s="9">
        <v>0</v>
      </c>
      <c r="L125" s="9">
        <v>0</v>
      </c>
      <c r="M125" s="9">
        <v>0</v>
      </c>
      <c r="N125" s="9">
        <v>0</v>
      </c>
      <c r="O125" s="9">
        <v>0</v>
      </c>
      <c r="P125" s="9">
        <v>0</v>
      </c>
      <c r="Q125" s="9">
        <v>0</v>
      </c>
      <c r="R125" s="9">
        <v>0</v>
      </c>
      <c r="S125" s="9">
        <v>0</v>
      </c>
      <c r="T125" s="9">
        <v>0</v>
      </c>
      <c r="U125" s="9">
        <f t="shared" si="4"/>
        <v>2</v>
      </c>
    </row>
    <row r="126" spans="2:21" x14ac:dyDescent="0.3">
      <c r="B126" s="9" t="s">
        <v>213</v>
      </c>
      <c r="C126" s="9">
        <v>0</v>
      </c>
      <c r="D126" s="9">
        <v>0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9">
        <v>0</v>
      </c>
      <c r="P126" s="9">
        <v>0</v>
      </c>
      <c r="Q126" s="9">
        <v>0</v>
      </c>
      <c r="R126" s="9">
        <v>0</v>
      </c>
      <c r="S126" s="9">
        <v>0</v>
      </c>
      <c r="T126" s="9">
        <v>0</v>
      </c>
      <c r="U126" s="9">
        <f t="shared" si="4"/>
        <v>0</v>
      </c>
    </row>
    <row r="127" spans="2:21" x14ac:dyDescent="0.3">
      <c r="B127" s="9" t="s">
        <v>59</v>
      </c>
      <c r="C127" s="9">
        <v>0</v>
      </c>
      <c r="D127" s="9">
        <v>0</v>
      </c>
      <c r="E127" s="9">
        <v>0</v>
      </c>
      <c r="F127" s="9">
        <v>0</v>
      </c>
      <c r="G127" s="9">
        <v>0</v>
      </c>
      <c r="H127" s="9">
        <v>0</v>
      </c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9">
        <v>0</v>
      </c>
      <c r="P127" s="9">
        <v>0</v>
      </c>
      <c r="Q127" s="9">
        <v>0</v>
      </c>
      <c r="R127" s="9">
        <v>0</v>
      </c>
      <c r="S127" s="9">
        <v>0</v>
      </c>
      <c r="T127" s="9">
        <v>0</v>
      </c>
      <c r="U127" s="9">
        <f t="shared" si="4"/>
        <v>0</v>
      </c>
    </row>
    <row r="128" spans="2:21" x14ac:dyDescent="0.3">
      <c r="B128" s="9" t="s">
        <v>214</v>
      </c>
      <c r="C128" s="9">
        <v>0</v>
      </c>
      <c r="D128" s="9">
        <v>2</v>
      </c>
      <c r="E128" s="9">
        <v>0</v>
      </c>
      <c r="F128" s="9">
        <v>0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0</v>
      </c>
      <c r="N128" s="9">
        <v>0</v>
      </c>
      <c r="O128" s="9">
        <v>287</v>
      </c>
      <c r="P128" s="9">
        <v>0</v>
      </c>
      <c r="Q128" s="9">
        <v>0</v>
      </c>
      <c r="R128" s="9">
        <v>0</v>
      </c>
      <c r="S128" s="9">
        <v>0</v>
      </c>
      <c r="T128" s="9">
        <v>0</v>
      </c>
      <c r="U128" s="9">
        <f t="shared" si="4"/>
        <v>289</v>
      </c>
    </row>
    <row r="129" spans="2:21" x14ac:dyDescent="0.3">
      <c r="B129" s="9" t="s">
        <v>60</v>
      </c>
      <c r="C129" s="9">
        <v>0</v>
      </c>
      <c r="D129" s="9">
        <v>1</v>
      </c>
      <c r="E129" s="9">
        <v>0</v>
      </c>
      <c r="F129" s="9">
        <v>0</v>
      </c>
      <c r="G129" s="9">
        <v>0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9">
        <v>3601</v>
      </c>
      <c r="P129" s="9">
        <v>2370</v>
      </c>
      <c r="Q129" s="9">
        <v>2076</v>
      </c>
      <c r="R129" s="9">
        <v>156</v>
      </c>
      <c r="S129" s="9">
        <v>0</v>
      </c>
      <c r="T129" s="9">
        <v>0</v>
      </c>
      <c r="U129" s="9">
        <f t="shared" si="4"/>
        <v>8204</v>
      </c>
    </row>
    <row r="130" spans="2:21" x14ac:dyDescent="0.3">
      <c r="B130" s="9" t="s">
        <v>61</v>
      </c>
      <c r="C130" s="9">
        <v>0</v>
      </c>
      <c r="D130" s="9">
        <v>0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77</v>
      </c>
      <c r="P130" s="9">
        <v>0</v>
      </c>
      <c r="Q130" s="9">
        <v>0</v>
      </c>
      <c r="R130" s="9">
        <v>0</v>
      </c>
      <c r="S130" s="9">
        <v>0</v>
      </c>
      <c r="T130" s="9">
        <v>0</v>
      </c>
      <c r="U130" s="9">
        <f t="shared" si="4"/>
        <v>77</v>
      </c>
    </row>
    <row r="131" spans="2:21" x14ac:dyDescent="0.3">
      <c r="B131" s="9" t="s">
        <v>78</v>
      </c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v>0</v>
      </c>
      <c r="M131" s="9">
        <v>0</v>
      </c>
      <c r="N131" s="9">
        <v>0</v>
      </c>
      <c r="O131" s="9">
        <v>134</v>
      </c>
      <c r="P131" s="9">
        <v>0</v>
      </c>
      <c r="Q131" s="9">
        <v>216</v>
      </c>
      <c r="R131" s="9">
        <v>83</v>
      </c>
      <c r="S131" s="9">
        <v>0</v>
      </c>
      <c r="T131" s="9">
        <v>0</v>
      </c>
      <c r="U131" s="9">
        <f t="shared" si="4"/>
        <v>433</v>
      </c>
    </row>
    <row r="132" spans="2:21" x14ac:dyDescent="0.3">
      <c r="B132" s="9" t="s">
        <v>62</v>
      </c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9">
        <v>0</v>
      </c>
      <c r="Q132" s="9">
        <v>0</v>
      </c>
      <c r="R132" s="9">
        <v>35</v>
      </c>
      <c r="S132" s="9">
        <v>0</v>
      </c>
      <c r="T132" s="9">
        <v>0</v>
      </c>
      <c r="U132" s="9">
        <f t="shared" si="4"/>
        <v>35</v>
      </c>
    </row>
    <row r="133" spans="2:21" x14ac:dyDescent="0.3">
      <c r="B133" s="9" t="s">
        <v>314</v>
      </c>
      <c r="C133" s="9">
        <v>0</v>
      </c>
      <c r="D133" s="9">
        <v>0</v>
      </c>
      <c r="E133" s="9">
        <v>0</v>
      </c>
      <c r="F133" s="9">
        <v>0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9">
        <v>0</v>
      </c>
      <c r="Q133" s="9">
        <v>0</v>
      </c>
      <c r="R133" s="9">
        <v>0</v>
      </c>
      <c r="S133" s="9">
        <v>0</v>
      </c>
      <c r="T133" s="9">
        <v>0</v>
      </c>
      <c r="U133" s="9">
        <f t="shared" si="4"/>
        <v>0</v>
      </c>
    </row>
    <row r="134" spans="2:21" x14ac:dyDescent="0.3">
      <c r="B134" s="9" t="s">
        <v>79</v>
      </c>
      <c r="C134" s="9">
        <v>0</v>
      </c>
      <c r="D134" s="9">
        <v>0</v>
      </c>
      <c r="E134" s="9">
        <v>20</v>
      </c>
      <c r="F134" s="9">
        <v>0</v>
      </c>
      <c r="G134" s="9">
        <v>0</v>
      </c>
      <c r="H134" s="9">
        <v>0</v>
      </c>
      <c r="I134" s="9">
        <v>0</v>
      </c>
      <c r="J134" s="9">
        <v>0</v>
      </c>
      <c r="K134" s="9">
        <v>0</v>
      </c>
      <c r="L134" s="9">
        <v>0</v>
      </c>
      <c r="M134" s="9">
        <v>0</v>
      </c>
      <c r="N134" s="9">
        <v>0</v>
      </c>
      <c r="O134" s="9">
        <v>0</v>
      </c>
      <c r="P134" s="9">
        <v>0</v>
      </c>
      <c r="Q134" s="9">
        <v>0</v>
      </c>
      <c r="R134" s="9">
        <v>0</v>
      </c>
      <c r="S134" s="9">
        <v>0</v>
      </c>
      <c r="T134" s="9">
        <v>0</v>
      </c>
      <c r="U134" s="9">
        <f t="shared" si="4"/>
        <v>20</v>
      </c>
    </row>
    <row r="135" spans="2:21" x14ac:dyDescent="0.3">
      <c r="B135" s="9" t="s">
        <v>215</v>
      </c>
      <c r="C135" s="9">
        <v>0</v>
      </c>
      <c r="D135" s="9">
        <v>0</v>
      </c>
      <c r="E135" s="9">
        <v>0</v>
      </c>
      <c r="F135" s="9">
        <v>0</v>
      </c>
      <c r="G135" s="9">
        <v>0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0</v>
      </c>
      <c r="O135" s="9">
        <v>0</v>
      </c>
      <c r="P135" s="9">
        <v>0</v>
      </c>
      <c r="Q135" s="9">
        <v>0</v>
      </c>
      <c r="R135" s="9">
        <v>0</v>
      </c>
      <c r="S135" s="9">
        <v>0</v>
      </c>
      <c r="T135" s="9">
        <v>0</v>
      </c>
      <c r="U135" s="9">
        <f t="shared" si="4"/>
        <v>0</v>
      </c>
    </row>
    <row r="136" spans="2:21" x14ac:dyDescent="0.3">
      <c r="B136" s="9" t="s">
        <v>63</v>
      </c>
      <c r="C136" s="9">
        <v>0</v>
      </c>
      <c r="D136" s="9">
        <v>210</v>
      </c>
      <c r="E136" s="9">
        <v>870</v>
      </c>
      <c r="F136" s="9">
        <v>0</v>
      </c>
      <c r="G136" s="9">
        <v>0</v>
      </c>
      <c r="H136" s="9">
        <v>0</v>
      </c>
      <c r="I136" s="9">
        <v>0</v>
      </c>
      <c r="J136" s="9">
        <v>482</v>
      </c>
      <c r="K136" s="9">
        <v>694</v>
      </c>
      <c r="L136" s="9">
        <v>0</v>
      </c>
      <c r="M136" s="9">
        <v>843</v>
      </c>
      <c r="N136" s="9">
        <v>0</v>
      </c>
      <c r="O136" s="9">
        <v>0</v>
      </c>
      <c r="P136" s="9">
        <v>0</v>
      </c>
      <c r="Q136" s="9">
        <v>0</v>
      </c>
      <c r="R136" s="9">
        <v>0</v>
      </c>
      <c r="S136" s="9">
        <v>0</v>
      </c>
      <c r="T136" s="9">
        <v>0</v>
      </c>
      <c r="U136" s="9">
        <f t="shared" si="4"/>
        <v>3099</v>
      </c>
    </row>
    <row r="137" spans="2:21" x14ac:dyDescent="0.3">
      <c r="B137" s="9" t="s">
        <v>216</v>
      </c>
      <c r="C137" s="9">
        <v>0</v>
      </c>
      <c r="D137" s="9">
        <v>0</v>
      </c>
      <c r="E137" s="9">
        <v>0</v>
      </c>
      <c r="F137" s="9">
        <v>0</v>
      </c>
      <c r="G137" s="9">
        <v>0</v>
      </c>
      <c r="H137" s="9">
        <v>0</v>
      </c>
      <c r="I137" s="9">
        <v>0</v>
      </c>
      <c r="J137" s="9">
        <v>0</v>
      </c>
      <c r="K137" s="9">
        <v>0</v>
      </c>
      <c r="L137" s="9">
        <v>0</v>
      </c>
      <c r="M137" s="9">
        <v>0</v>
      </c>
      <c r="N137" s="9">
        <v>0</v>
      </c>
      <c r="O137" s="9">
        <v>47</v>
      </c>
      <c r="P137" s="9">
        <v>405</v>
      </c>
      <c r="Q137" s="9">
        <v>0</v>
      </c>
      <c r="R137" s="9">
        <v>0</v>
      </c>
      <c r="S137" s="9">
        <v>0</v>
      </c>
      <c r="T137" s="9">
        <v>0</v>
      </c>
      <c r="U137" s="9">
        <f t="shared" si="4"/>
        <v>452</v>
      </c>
    </row>
    <row r="138" spans="2:21" x14ac:dyDescent="0.3">
      <c r="B138" s="9" t="s">
        <v>64</v>
      </c>
      <c r="C138" s="9">
        <v>0</v>
      </c>
      <c r="D138" s="9">
        <v>0</v>
      </c>
      <c r="E138" s="9">
        <v>0</v>
      </c>
      <c r="F138" s="9">
        <v>0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1280</v>
      </c>
      <c r="P138" s="9">
        <v>515</v>
      </c>
      <c r="Q138" s="9">
        <v>0</v>
      </c>
      <c r="R138" s="9">
        <v>0</v>
      </c>
      <c r="S138" s="9">
        <v>0</v>
      </c>
      <c r="T138" s="9">
        <v>808</v>
      </c>
      <c r="U138" s="9">
        <f t="shared" si="4"/>
        <v>2603</v>
      </c>
    </row>
    <row r="139" spans="2:21" x14ac:dyDescent="0.3">
      <c r="B139" s="9" t="s">
        <v>65</v>
      </c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9">
        <v>0</v>
      </c>
      <c r="Q139" s="9">
        <v>0</v>
      </c>
      <c r="R139" s="9">
        <v>0</v>
      </c>
      <c r="S139" s="9">
        <v>0</v>
      </c>
      <c r="T139" s="9">
        <v>0</v>
      </c>
      <c r="U139" s="9">
        <f t="shared" si="4"/>
        <v>0</v>
      </c>
    </row>
    <row r="140" spans="2:21" x14ac:dyDescent="0.3">
      <c r="B140" s="9" t="s">
        <v>217</v>
      </c>
      <c r="C140" s="9">
        <v>0</v>
      </c>
      <c r="D140" s="9">
        <v>0</v>
      </c>
      <c r="E140" s="9">
        <v>0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854</v>
      </c>
      <c r="P140" s="9">
        <v>9780</v>
      </c>
      <c r="Q140" s="9">
        <v>1092</v>
      </c>
      <c r="R140" s="9">
        <v>0</v>
      </c>
      <c r="S140" s="9">
        <v>0</v>
      </c>
      <c r="T140" s="9">
        <v>220</v>
      </c>
      <c r="U140" s="9">
        <f t="shared" si="4"/>
        <v>11946</v>
      </c>
    </row>
    <row r="141" spans="2:21" ht="15" thickBot="1" x14ac:dyDescent="0.35">
      <c r="B141" s="28" t="s">
        <v>66</v>
      </c>
      <c r="C141" s="28">
        <v>0</v>
      </c>
      <c r="D141" s="28">
        <v>0</v>
      </c>
      <c r="E141" s="28">
        <v>0</v>
      </c>
      <c r="F141" s="28">
        <v>0</v>
      </c>
      <c r="G141" s="28">
        <v>0</v>
      </c>
      <c r="H141" s="28">
        <v>0</v>
      </c>
      <c r="I141" s="28">
        <v>0</v>
      </c>
      <c r="J141" s="28">
        <v>0</v>
      </c>
      <c r="K141" s="28">
        <v>0</v>
      </c>
      <c r="L141" s="28">
        <v>0</v>
      </c>
      <c r="M141" s="28">
        <v>0</v>
      </c>
      <c r="N141" s="28">
        <v>0</v>
      </c>
      <c r="O141" s="28">
        <v>0</v>
      </c>
      <c r="P141" s="28">
        <v>0</v>
      </c>
      <c r="Q141" s="28">
        <v>0</v>
      </c>
      <c r="R141" s="28">
        <v>0</v>
      </c>
      <c r="S141" s="28">
        <v>0</v>
      </c>
      <c r="T141" s="28">
        <v>0</v>
      </c>
      <c r="U141" s="28">
        <f t="shared" si="4"/>
        <v>0</v>
      </c>
    </row>
    <row r="142" spans="2:21" x14ac:dyDescent="0.3">
      <c r="B142" s="27" t="s">
        <v>269</v>
      </c>
      <c r="C142" s="27">
        <f t="shared" ref="C142:U142" si="5">SUM(C101:C141)</f>
        <v>105782</v>
      </c>
      <c r="D142" s="27">
        <f t="shared" si="5"/>
        <v>26371</v>
      </c>
      <c r="E142" s="27">
        <f t="shared" si="5"/>
        <v>9872</v>
      </c>
      <c r="F142" s="27">
        <f t="shared" si="5"/>
        <v>32495</v>
      </c>
      <c r="G142" s="27">
        <f t="shared" si="5"/>
        <v>5842</v>
      </c>
      <c r="H142" s="27">
        <f t="shared" si="5"/>
        <v>5169</v>
      </c>
      <c r="I142" s="27">
        <f t="shared" si="5"/>
        <v>2092</v>
      </c>
      <c r="J142" s="27">
        <f t="shared" si="5"/>
        <v>19326</v>
      </c>
      <c r="K142" s="27">
        <f t="shared" si="5"/>
        <v>2547</v>
      </c>
      <c r="L142" s="27">
        <f t="shared" si="5"/>
        <v>3119</v>
      </c>
      <c r="M142" s="27">
        <f t="shared" si="5"/>
        <v>10690</v>
      </c>
      <c r="N142" s="27">
        <f t="shared" si="5"/>
        <v>1435</v>
      </c>
      <c r="O142" s="27">
        <f t="shared" si="5"/>
        <v>15426</v>
      </c>
      <c r="P142" s="27">
        <f t="shared" si="5"/>
        <v>13647</v>
      </c>
      <c r="Q142" s="27">
        <f t="shared" si="5"/>
        <v>6643</v>
      </c>
      <c r="R142" s="27">
        <f t="shared" si="5"/>
        <v>1486</v>
      </c>
      <c r="S142" s="27">
        <f t="shared" si="5"/>
        <v>0</v>
      </c>
      <c r="T142" s="27">
        <f t="shared" si="5"/>
        <v>5489</v>
      </c>
      <c r="U142" s="27">
        <f t="shared" si="5"/>
        <v>267431</v>
      </c>
    </row>
    <row r="143" spans="2:21" x14ac:dyDescent="0.3">
      <c r="B143" s="8" t="s">
        <v>226</v>
      </c>
      <c r="C143" s="23">
        <f>C142 / U142</f>
        <v>0.3955487583713182</v>
      </c>
      <c r="D143" s="23">
        <f>D142 / U142</f>
        <v>9.8608613062808728E-2</v>
      </c>
      <c r="E143" s="23">
        <f>E142 / U142</f>
        <v>3.6914194689471304E-2</v>
      </c>
      <c r="F143" s="23">
        <f>F142 / U142</f>
        <v>0.12150797775874898</v>
      </c>
      <c r="G143" s="23">
        <f>G142 / U142</f>
        <v>2.1844887092371489E-2</v>
      </c>
      <c r="H143" s="23">
        <f>H142 / U142</f>
        <v>1.9328350116478644E-2</v>
      </c>
      <c r="I143" s="23">
        <f>I142 / U142</f>
        <v>7.8225785342761305E-3</v>
      </c>
      <c r="J143" s="23">
        <f>J142 / U142</f>
        <v>7.226536938500025E-2</v>
      </c>
      <c r="K143" s="23">
        <f>K142 / U142</f>
        <v>9.523951972658368E-3</v>
      </c>
      <c r="L143" s="23">
        <f>L142 / U142</f>
        <v>1.1662821438053181E-2</v>
      </c>
      <c r="M143" s="23">
        <f>M142 / U142</f>
        <v>3.9972927596277172E-2</v>
      </c>
      <c r="N143" s="23">
        <f>N142 / U142</f>
        <v>5.3658700748978241E-3</v>
      </c>
      <c r="O143" s="23">
        <f>O142 / U142</f>
        <v>5.7682168484581069E-2</v>
      </c>
      <c r="P143" s="23">
        <f>P142 / U142</f>
        <v>5.1029985304620634E-2</v>
      </c>
      <c r="Q143" s="23">
        <f>Q142 / U142</f>
        <v>2.4840052200380658E-2</v>
      </c>
      <c r="R143" s="23">
        <f>R142 / U142</f>
        <v>5.5565734712879214E-3</v>
      </c>
      <c r="S143" s="23">
        <f>S142 / U142</f>
        <v>0</v>
      </c>
      <c r="T143" s="23">
        <f>T142 / U142</f>
        <v>2.0524920446769446E-2</v>
      </c>
      <c r="U143" s="23">
        <f>U142 / U142</f>
        <v>1</v>
      </c>
    </row>
    <row r="145" spans="2:7" x14ac:dyDescent="0.3">
      <c r="B145" s="11" t="s">
        <v>302</v>
      </c>
      <c r="C145" s="12"/>
      <c r="D145" s="12"/>
      <c r="E145" s="12"/>
      <c r="F145" s="12"/>
      <c r="G145" s="12"/>
    </row>
    <row r="146" spans="2:7" x14ac:dyDescent="0.3">
      <c r="B146" s="12"/>
      <c r="C146" s="12"/>
      <c r="D146" s="12"/>
      <c r="E146" s="12"/>
      <c r="F146" s="12"/>
      <c r="G146" s="12"/>
    </row>
    <row r="147" spans="2:7" s="6" customFormat="1" ht="120" customHeight="1" x14ac:dyDescent="0.3">
      <c r="B147" s="20" t="s">
        <v>1</v>
      </c>
      <c r="C147" s="20" t="s">
        <v>240</v>
      </c>
      <c r="D147" s="20" t="s">
        <v>239</v>
      </c>
      <c r="E147" s="20" t="s">
        <v>241</v>
      </c>
      <c r="F147" s="20" t="s">
        <v>36</v>
      </c>
      <c r="G147" s="21" t="s">
        <v>224</v>
      </c>
    </row>
    <row r="148" spans="2:7" x14ac:dyDescent="0.3">
      <c r="B148" s="9" t="s">
        <v>41</v>
      </c>
      <c r="C148" s="9">
        <v>60422</v>
      </c>
      <c r="D148" s="9">
        <v>5318</v>
      </c>
      <c r="E148" s="9">
        <v>38646</v>
      </c>
      <c r="F148" s="9">
        <v>6769</v>
      </c>
      <c r="G148" s="9">
        <f t="shared" ref="G148:G188" si="6">SUM(C148:F148)</f>
        <v>111155</v>
      </c>
    </row>
    <row r="149" spans="2:7" x14ac:dyDescent="0.3">
      <c r="B149" s="9" t="s">
        <v>76</v>
      </c>
      <c r="C149" s="9">
        <v>15805</v>
      </c>
      <c r="D149" s="9">
        <v>799</v>
      </c>
      <c r="E149" s="9">
        <v>68573</v>
      </c>
      <c r="F149" s="9">
        <v>1088</v>
      </c>
      <c r="G149" s="9">
        <f t="shared" si="6"/>
        <v>86265</v>
      </c>
    </row>
    <row r="150" spans="2:7" x14ac:dyDescent="0.3">
      <c r="B150" s="9" t="s">
        <v>42</v>
      </c>
      <c r="C150" s="9">
        <v>6132</v>
      </c>
      <c r="D150" s="9">
        <v>0</v>
      </c>
      <c r="E150" s="9">
        <v>1756</v>
      </c>
      <c r="F150" s="9">
        <v>42</v>
      </c>
      <c r="G150" s="9">
        <f t="shared" si="6"/>
        <v>7930</v>
      </c>
    </row>
    <row r="151" spans="2:7" x14ac:dyDescent="0.3">
      <c r="B151" s="9" t="s">
        <v>43</v>
      </c>
      <c r="C151" s="9">
        <v>0</v>
      </c>
      <c r="D151" s="9">
        <v>0</v>
      </c>
      <c r="E151" s="9">
        <v>33</v>
      </c>
      <c r="F151" s="9">
        <v>0</v>
      </c>
      <c r="G151" s="9">
        <f t="shared" si="6"/>
        <v>33</v>
      </c>
    </row>
    <row r="152" spans="2:7" x14ac:dyDescent="0.3">
      <c r="B152" s="9" t="s">
        <v>44</v>
      </c>
      <c r="C152" s="9">
        <v>0</v>
      </c>
      <c r="D152" s="9">
        <v>0</v>
      </c>
      <c r="E152" s="9">
        <v>0</v>
      </c>
      <c r="F152" s="9">
        <v>0</v>
      </c>
      <c r="G152" s="9">
        <f t="shared" si="6"/>
        <v>0</v>
      </c>
    </row>
    <row r="153" spans="2:7" x14ac:dyDescent="0.3">
      <c r="B153" s="9" t="s">
        <v>45</v>
      </c>
      <c r="C153" s="9">
        <v>0</v>
      </c>
      <c r="D153" s="9">
        <v>0</v>
      </c>
      <c r="E153" s="9">
        <v>304</v>
      </c>
      <c r="F153" s="9">
        <v>71</v>
      </c>
      <c r="G153" s="9">
        <f t="shared" si="6"/>
        <v>375</v>
      </c>
    </row>
    <row r="154" spans="2:7" x14ac:dyDescent="0.3">
      <c r="B154" s="9" t="s">
        <v>207</v>
      </c>
      <c r="C154" s="9">
        <v>0</v>
      </c>
      <c r="D154" s="9">
        <v>86</v>
      </c>
      <c r="E154" s="9">
        <v>2715</v>
      </c>
      <c r="F154" s="9">
        <v>184</v>
      </c>
      <c r="G154" s="9">
        <f t="shared" si="6"/>
        <v>2985</v>
      </c>
    </row>
    <row r="155" spans="2:7" x14ac:dyDescent="0.3">
      <c r="B155" s="9" t="s">
        <v>46</v>
      </c>
      <c r="C155" s="9">
        <v>1406</v>
      </c>
      <c r="D155" s="9">
        <v>110</v>
      </c>
      <c r="E155" s="9">
        <v>4794</v>
      </c>
      <c r="F155" s="9">
        <v>55269</v>
      </c>
      <c r="G155" s="9">
        <f t="shared" si="6"/>
        <v>61579</v>
      </c>
    </row>
    <row r="156" spans="2:7" x14ac:dyDescent="0.3">
      <c r="B156" s="9" t="s">
        <v>47</v>
      </c>
      <c r="C156" s="9">
        <v>0</v>
      </c>
      <c r="D156" s="9">
        <v>149</v>
      </c>
      <c r="E156" s="9">
        <v>348</v>
      </c>
      <c r="F156" s="9">
        <v>133</v>
      </c>
      <c r="G156" s="9">
        <f t="shared" si="6"/>
        <v>630</v>
      </c>
    </row>
    <row r="157" spans="2:7" x14ac:dyDescent="0.3">
      <c r="B157" s="9" t="s">
        <v>48</v>
      </c>
      <c r="C157" s="9">
        <v>0</v>
      </c>
      <c r="D157" s="9">
        <v>86</v>
      </c>
      <c r="E157" s="9">
        <v>912</v>
      </c>
      <c r="F157" s="9">
        <v>442</v>
      </c>
      <c r="G157" s="9">
        <f t="shared" si="6"/>
        <v>1440</v>
      </c>
    </row>
    <row r="158" spans="2:7" x14ac:dyDescent="0.3">
      <c r="B158" s="9" t="s">
        <v>49</v>
      </c>
      <c r="C158" s="9">
        <v>0</v>
      </c>
      <c r="D158" s="9">
        <v>0</v>
      </c>
      <c r="E158" s="9">
        <v>0</v>
      </c>
      <c r="F158" s="9">
        <v>0</v>
      </c>
      <c r="G158" s="9">
        <f t="shared" si="6"/>
        <v>0</v>
      </c>
    </row>
    <row r="159" spans="2:7" x14ac:dyDescent="0.3">
      <c r="B159" s="9" t="s">
        <v>208</v>
      </c>
      <c r="C159" s="9">
        <v>4</v>
      </c>
      <c r="D159" s="9">
        <v>0</v>
      </c>
      <c r="E159" s="9">
        <v>0</v>
      </c>
      <c r="F159" s="9">
        <v>0</v>
      </c>
      <c r="G159" s="9">
        <f t="shared" si="6"/>
        <v>4</v>
      </c>
    </row>
    <row r="160" spans="2:7" x14ac:dyDescent="0.3">
      <c r="B160" s="9" t="s">
        <v>50</v>
      </c>
      <c r="C160" s="9">
        <v>0</v>
      </c>
      <c r="D160" s="9">
        <v>23</v>
      </c>
      <c r="E160" s="9">
        <v>0</v>
      </c>
      <c r="F160" s="9">
        <v>43</v>
      </c>
      <c r="G160" s="9">
        <f t="shared" si="6"/>
        <v>66</v>
      </c>
    </row>
    <row r="161" spans="2:7" x14ac:dyDescent="0.3">
      <c r="B161" s="9" t="s">
        <v>51</v>
      </c>
      <c r="C161" s="9">
        <v>4</v>
      </c>
      <c r="D161" s="9">
        <v>573</v>
      </c>
      <c r="E161" s="9">
        <v>1160</v>
      </c>
      <c r="F161" s="9">
        <v>1</v>
      </c>
      <c r="G161" s="9">
        <f t="shared" si="6"/>
        <v>1738</v>
      </c>
    </row>
    <row r="162" spans="2:7" x14ac:dyDescent="0.3">
      <c r="B162" s="9" t="s">
        <v>52</v>
      </c>
      <c r="C162" s="9">
        <v>0</v>
      </c>
      <c r="D162" s="9">
        <v>0</v>
      </c>
      <c r="E162" s="9">
        <v>2</v>
      </c>
      <c r="F162" s="9">
        <v>8</v>
      </c>
      <c r="G162" s="9">
        <f t="shared" si="6"/>
        <v>10</v>
      </c>
    </row>
    <row r="163" spans="2:7" x14ac:dyDescent="0.3">
      <c r="B163" s="9" t="s">
        <v>53</v>
      </c>
      <c r="C163" s="9">
        <v>25</v>
      </c>
      <c r="D163" s="9">
        <v>0</v>
      </c>
      <c r="E163" s="9">
        <v>37</v>
      </c>
      <c r="F163" s="9">
        <v>796</v>
      </c>
      <c r="G163" s="9">
        <f t="shared" si="6"/>
        <v>858</v>
      </c>
    </row>
    <row r="164" spans="2:7" x14ac:dyDescent="0.3">
      <c r="B164" s="9" t="s">
        <v>54</v>
      </c>
      <c r="C164" s="9">
        <v>6</v>
      </c>
      <c r="D164" s="9">
        <v>31</v>
      </c>
      <c r="E164" s="9">
        <v>89</v>
      </c>
      <c r="F164" s="9">
        <v>148</v>
      </c>
      <c r="G164" s="9">
        <f t="shared" si="6"/>
        <v>274</v>
      </c>
    </row>
    <row r="165" spans="2:7" x14ac:dyDescent="0.3">
      <c r="B165" s="9" t="s">
        <v>55</v>
      </c>
      <c r="C165" s="9">
        <v>0</v>
      </c>
      <c r="D165" s="9">
        <v>0</v>
      </c>
      <c r="E165" s="9">
        <v>0</v>
      </c>
      <c r="F165" s="9">
        <v>0</v>
      </c>
      <c r="G165" s="9">
        <f t="shared" si="6"/>
        <v>0</v>
      </c>
    </row>
    <row r="166" spans="2:7" x14ac:dyDescent="0.3">
      <c r="B166" s="9" t="s">
        <v>209</v>
      </c>
      <c r="C166" s="9">
        <v>0</v>
      </c>
      <c r="D166" s="9">
        <v>0</v>
      </c>
      <c r="E166" s="9">
        <v>57</v>
      </c>
      <c r="F166" s="9">
        <v>0</v>
      </c>
      <c r="G166" s="9">
        <f t="shared" si="6"/>
        <v>57</v>
      </c>
    </row>
    <row r="167" spans="2:7" x14ac:dyDescent="0.3">
      <c r="B167" s="9" t="s">
        <v>56</v>
      </c>
      <c r="C167" s="9">
        <v>0</v>
      </c>
      <c r="D167" s="9">
        <v>0</v>
      </c>
      <c r="E167" s="9">
        <v>1648</v>
      </c>
      <c r="F167" s="9">
        <v>0</v>
      </c>
      <c r="G167" s="9">
        <f t="shared" si="6"/>
        <v>1648</v>
      </c>
    </row>
    <row r="168" spans="2:7" x14ac:dyDescent="0.3">
      <c r="B168" s="9" t="s">
        <v>57</v>
      </c>
      <c r="C168" s="9">
        <v>0</v>
      </c>
      <c r="D168" s="9">
        <v>0</v>
      </c>
      <c r="E168" s="9">
        <v>0</v>
      </c>
      <c r="F168" s="9">
        <v>0</v>
      </c>
      <c r="G168" s="9">
        <f t="shared" si="6"/>
        <v>0</v>
      </c>
    </row>
    <row r="169" spans="2:7" x14ac:dyDescent="0.3">
      <c r="B169" s="9" t="s">
        <v>210</v>
      </c>
      <c r="C169" s="9">
        <v>0</v>
      </c>
      <c r="D169" s="9">
        <v>0</v>
      </c>
      <c r="E169" s="9">
        <v>0</v>
      </c>
      <c r="F169" s="9">
        <v>0</v>
      </c>
      <c r="G169" s="9">
        <f t="shared" si="6"/>
        <v>0</v>
      </c>
    </row>
    <row r="170" spans="2:7" x14ac:dyDescent="0.3">
      <c r="B170" s="9" t="s">
        <v>58</v>
      </c>
      <c r="C170" s="9">
        <v>0</v>
      </c>
      <c r="D170" s="9">
        <v>0</v>
      </c>
      <c r="E170" s="9">
        <v>0</v>
      </c>
      <c r="F170" s="9">
        <v>0</v>
      </c>
      <c r="G170" s="9">
        <f t="shared" si="6"/>
        <v>0</v>
      </c>
    </row>
    <row r="171" spans="2:7" x14ac:dyDescent="0.3">
      <c r="B171" s="9" t="s">
        <v>211</v>
      </c>
      <c r="C171" s="9">
        <v>0</v>
      </c>
      <c r="D171" s="9">
        <v>0</v>
      </c>
      <c r="E171" s="9">
        <v>0</v>
      </c>
      <c r="F171" s="9">
        <v>0</v>
      </c>
      <c r="G171" s="9">
        <f t="shared" si="6"/>
        <v>0</v>
      </c>
    </row>
    <row r="172" spans="2:7" x14ac:dyDescent="0.3">
      <c r="B172" s="9" t="s">
        <v>212</v>
      </c>
      <c r="C172" s="9">
        <v>0</v>
      </c>
      <c r="D172" s="9">
        <v>0</v>
      </c>
      <c r="E172" s="9">
        <v>0</v>
      </c>
      <c r="F172" s="9">
        <v>0</v>
      </c>
      <c r="G172" s="9">
        <f t="shared" si="6"/>
        <v>0</v>
      </c>
    </row>
    <row r="173" spans="2:7" x14ac:dyDescent="0.3">
      <c r="B173" s="9" t="s">
        <v>213</v>
      </c>
      <c r="C173" s="9">
        <v>0</v>
      </c>
      <c r="D173" s="9">
        <v>0</v>
      </c>
      <c r="E173" s="9">
        <v>0</v>
      </c>
      <c r="F173" s="9">
        <v>0</v>
      </c>
      <c r="G173" s="9">
        <f t="shared" si="6"/>
        <v>0</v>
      </c>
    </row>
    <row r="174" spans="2:7" x14ac:dyDescent="0.3">
      <c r="B174" s="9" t="s">
        <v>59</v>
      </c>
      <c r="C174" s="9">
        <v>0</v>
      </c>
      <c r="D174" s="9">
        <v>0</v>
      </c>
      <c r="E174" s="9">
        <v>0</v>
      </c>
      <c r="F174" s="9">
        <v>0</v>
      </c>
      <c r="G174" s="9">
        <f t="shared" si="6"/>
        <v>0</v>
      </c>
    </row>
    <row r="175" spans="2:7" x14ac:dyDescent="0.3">
      <c r="B175" s="9" t="s">
        <v>214</v>
      </c>
      <c r="C175" s="9">
        <v>0</v>
      </c>
      <c r="D175" s="9">
        <v>0</v>
      </c>
      <c r="E175" s="9">
        <v>0</v>
      </c>
      <c r="F175" s="9">
        <v>3</v>
      </c>
      <c r="G175" s="9">
        <f t="shared" si="6"/>
        <v>3</v>
      </c>
    </row>
    <row r="176" spans="2:7" x14ac:dyDescent="0.3">
      <c r="B176" s="9" t="s">
        <v>60</v>
      </c>
      <c r="C176" s="9">
        <v>203</v>
      </c>
      <c r="D176" s="9">
        <v>4860</v>
      </c>
      <c r="E176" s="9">
        <v>0</v>
      </c>
      <c r="F176" s="9">
        <v>177</v>
      </c>
      <c r="G176" s="9">
        <f t="shared" si="6"/>
        <v>5240</v>
      </c>
    </row>
    <row r="177" spans="2:7" x14ac:dyDescent="0.3">
      <c r="B177" s="9" t="s">
        <v>61</v>
      </c>
      <c r="C177" s="9">
        <v>0</v>
      </c>
      <c r="D177" s="9">
        <v>0</v>
      </c>
      <c r="E177" s="9">
        <v>0</v>
      </c>
      <c r="F177" s="9">
        <v>3</v>
      </c>
      <c r="G177" s="9">
        <f t="shared" si="6"/>
        <v>3</v>
      </c>
    </row>
    <row r="178" spans="2:7" x14ac:dyDescent="0.3">
      <c r="B178" s="9" t="s">
        <v>78</v>
      </c>
      <c r="C178" s="9">
        <v>0</v>
      </c>
      <c r="D178" s="9">
        <v>0</v>
      </c>
      <c r="E178" s="9">
        <v>120</v>
      </c>
      <c r="F178" s="9">
        <v>0</v>
      </c>
      <c r="G178" s="9">
        <f t="shared" si="6"/>
        <v>120</v>
      </c>
    </row>
    <row r="179" spans="2:7" x14ac:dyDescent="0.3">
      <c r="B179" s="9" t="s">
        <v>62</v>
      </c>
      <c r="C179" s="9">
        <v>0</v>
      </c>
      <c r="D179" s="9">
        <v>0</v>
      </c>
      <c r="E179" s="9">
        <v>0</v>
      </c>
      <c r="F179" s="9">
        <v>0</v>
      </c>
      <c r="G179" s="9">
        <f t="shared" si="6"/>
        <v>0</v>
      </c>
    </row>
    <row r="180" spans="2:7" x14ac:dyDescent="0.3">
      <c r="B180" s="9" t="s">
        <v>314</v>
      </c>
      <c r="C180" s="9">
        <v>0</v>
      </c>
      <c r="D180" s="9">
        <v>0</v>
      </c>
      <c r="E180" s="9">
        <v>0</v>
      </c>
      <c r="F180" s="9">
        <v>0</v>
      </c>
      <c r="G180" s="9">
        <f t="shared" si="6"/>
        <v>0</v>
      </c>
    </row>
    <row r="181" spans="2:7" x14ac:dyDescent="0.3">
      <c r="B181" s="9" t="s">
        <v>79</v>
      </c>
      <c r="C181" s="9">
        <v>0</v>
      </c>
      <c r="D181" s="9">
        <v>0</v>
      </c>
      <c r="E181" s="9">
        <v>5440</v>
      </c>
      <c r="F181" s="9">
        <v>0</v>
      </c>
      <c r="G181" s="9">
        <f t="shared" si="6"/>
        <v>5440</v>
      </c>
    </row>
    <row r="182" spans="2:7" x14ac:dyDescent="0.3">
      <c r="B182" s="9" t="s">
        <v>215</v>
      </c>
      <c r="C182" s="9">
        <v>0</v>
      </c>
      <c r="D182" s="9">
        <v>0</v>
      </c>
      <c r="E182" s="9">
        <v>0</v>
      </c>
      <c r="F182" s="9">
        <v>0</v>
      </c>
      <c r="G182" s="9">
        <f t="shared" si="6"/>
        <v>0</v>
      </c>
    </row>
    <row r="183" spans="2:7" x14ac:dyDescent="0.3">
      <c r="B183" s="9" t="s">
        <v>63</v>
      </c>
      <c r="C183" s="9">
        <v>0</v>
      </c>
      <c r="D183" s="9">
        <v>0</v>
      </c>
      <c r="E183" s="9">
        <v>16173</v>
      </c>
      <c r="F183" s="9">
        <v>0</v>
      </c>
      <c r="G183" s="9">
        <f t="shared" si="6"/>
        <v>16173</v>
      </c>
    </row>
    <row r="184" spans="2:7" x14ac:dyDescent="0.3">
      <c r="B184" s="9" t="s">
        <v>216</v>
      </c>
      <c r="C184" s="9">
        <v>0</v>
      </c>
      <c r="D184" s="9">
        <v>0</v>
      </c>
      <c r="E184" s="9">
        <v>0</v>
      </c>
      <c r="F184" s="9">
        <v>0</v>
      </c>
      <c r="G184" s="9">
        <f t="shared" si="6"/>
        <v>0</v>
      </c>
    </row>
    <row r="185" spans="2:7" x14ac:dyDescent="0.3">
      <c r="B185" s="9" t="s">
        <v>64</v>
      </c>
      <c r="C185" s="9">
        <v>0</v>
      </c>
      <c r="D185" s="9">
        <v>0</v>
      </c>
      <c r="E185" s="9">
        <v>3456</v>
      </c>
      <c r="F185" s="9">
        <v>640</v>
      </c>
      <c r="G185" s="9">
        <f t="shared" si="6"/>
        <v>4096</v>
      </c>
    </row>
    <row r="186" spans="2:7" x14ac:dyDescent="0.3">
      <c r="B186" s="9" t="s">
        <v>65</v>
      </c>
      <c r="C186" s="9">
        <v>0</v>
      </c>
      <c r="D186" s="9">
        <v>0</v>
      </c>
      <c r="E186" s="9">
        <v>0</v>
      </c>
      <c r="F186" s="9">
        <v>0</v>
      </c>
      <c r="G186" s="9">
        <f t="shared" si="6"/>
        <v>0</v>
      </c>
    </row>
    <row r="187" spans="2:7" x14ac:dyDescent="0.3">
      <c r="B187" s="9" t="s">
        <v>217</v>
      </c>
      <c r="C187" s="9">
        <v>0</v>
      </c>
      <c r="D187" s="9">
        <v>0</v>
      </c>
      <c r="E187" s="9">
        <v>5040</v>
      </c>
      <c r="F187" s="9">
        <v>395</v>
      </c>
      <c r="G187" s="9">
        <f t="shared" si="6"/>
        <v>5435</v>
      </c>
    </row>
    <row r="188" spans="2:7" ht="15" thickBot="1" x14ac:dyDescent="0.35">
      <c r="B188" s="28" t="s">
        <v>66</v>
      </c>
      <c r="C188" s="28">
        <v>0</v>
      </c>
      <c r="D188" s="28">
        <v>0</v>
      </c>
      <c r="E188" s="28">
        <v>0</v>
      </c>
      <c r="F188" s="28">
        <v>0</v>
      </c>
      <c r="G188" s="28">
        <f t="shared" si="6"/>
        <v>0</v>
      </c>
    </row>
    <row r="189" spans="2:7" x14ac:dyDescent="0.3">
      <c r="B189" s="27" t="s">
        <v>269</v>
      </c>
      <c r="C189" s="27">
        <f>SUM(C148:C188)</f>
        <v>84007</v>
      </c>
      <c r="D189" s="27">
        <f>SUM(D148:D188)</f>
        <v>12035</v>
      </c>
      <c r="E189" s="27">
        <f>SUM(E148:E188)</f>
        <v>151303</v>
      </c>
      <c r="F189" s="27">
        <f>SUM(F148:F188)</f>
        <v>66212</v>
      </c>
      <c r="G189" s="27">
        <f>SUM(G148:G188)</f>
        <v>313557</v>
      </c>
    </row>
    <row r="190" spans="2:7" x14ac:dyDescent="0.3">
      <c r="B190" s="8" t="s">
        <v>226</v>
      </c>
      <c r="C190" s="23">
        <f>C189 / G189</f>
        <v>0.26791620024429369</v>
      </c>
      <c r="D190" s="23">
        <f>D189 / G189</f>
        <v>3.8382176127466458E-2</v>
      </c>
      <c r="E190" s="23">
        <f>E189 / G189</f>
        <v>0.48253746527744557</v>
      </c>
      <c r="F190" s="23">
        <f>F189 / G189</f>
        <v>0.21116415835079427</v>
      </c>
      <c r="G190" s="23">
        <f>G189 / G189</f>
        <v>1</v>
      </c>
    </row>
    <row r="192" spans="2:7" x14ac:dyDescent="0.3">
      <c r="B192" s="11" t="s">
        <v>258</v>
      </c>
      <c r="C192" s="12"/>
      <c r="D192" s="12"/>
      <c r="E192" s="12"/>
      <c r="F192" s="12"/>
      <c r="G192" s="12"/>
    </row>
    <row r="193" spans="2:7" x14ac:dyDescent="0.3">
      <c r="B193" s="12"/>
      <c r="C193" s="12"/>
      <c r="D193" s="12"/>
      <c r="E193" s="12"/>
      <c r="F193" s="12"/>
      <c r="G193" s="12"/>
    </row>
    <row r="194" spans="2:7" s="6" customFormat="1" ht="60" customHeight="1" x14ac:dyDescent="0.3">
      <c r="B194" s="20" t="s">
        <v>1</v>
      </c>
      <c r="C194" s="20" t="s">
        <v>242</v>
      </c>
      <c r="D194" s="20" t="s">
        <v>243</v>
      </c>
      <c r="E194" s="20" t="s">
        <v>244</v>
      </c>
      <c r="F194" s="20" t="s">
        <v>118</v>
      </c>
      <c r="G194" s="21" t="s">
        <v>224</v>
      </c>
    </row>
    <row r="195" spans="2:7" x14ac:dyDescent="0.3">
      <c r="B195" s="9" t="s">
        <v>41</v>
      </c>
      <c r="C195" s="9">
        <v>19797</v>
      </c>
      <c r="D195" s="9">
        <v>0</v>
      </c>
      <c r="E195" s="9">
        <v>40625</v>
      </c>
      <c r="F195" s="9">
        <v>0</v>
      </c>
      <c r="G195" s="9">
        <f t="shared" ref="G195:G235" si="7">SUM(C195:F195)</f>
        <v>60422</v>
      </c>
    </row>
    <row r="196" spans="2:7" x14ac:dyDescent="0.3">
      <c r="B196" s="9" t="s">
        <v>76</v>
      </c>
      <c r="C196" s="9">
        <v>362</v>
      </c>
      <c r="D196" s="9">
        <v>0</v>
      </c>
      <c r="E196" s="9">
        <v>15443</v>
      </c>
      <c r="F196" s="9">
        <v>0</v>
      </c>
      <c r="G196" s="9">
        <f t="shared" si="7"/>
        <v>15805</v>
      </c>
    </row>
    <row r="197" spans="2:7" x14ac:dyDescent="0.3">
      <c r="B197" s="9" t="s">
        <v>42</v>
      </c>
      <c r="C197" s="9">
        <v>1094</v>
      </c>
      <c r="D197" s="9">
        <v>0</v>
      </c>
      <c r="E197" s="9">
        <v>5038</v>
      </c>
      <c r="F197" s="9">
        <v>0</v>
      </c>
      <c r="G197" s="9">
        <f t="shared" si="7"/>
        <v>6132</v>
      </c>
    </row>
    <row r="198" spans="2:7" x14ac:dyDescent="0.3">
      <c r="B198" s="9" t="s">
        <v>43</v>
      </c>
      <c r="C198" s="9">
        <v>0</v>
      </c>
      <c r="D198" s="9">
        <v>0</v>
      </c>
      <c r="E198" s="9">
        <v>0</v>
      </c>
      <c r="F198" s="9">
        <v>0</v>
      </c>
      <c r="G198" s="9">
        <f t="shared" si="7"/>
        <v>0</v>
      </c>
    </row>
    <row r="199" spans="2:7" x14ac:dyDescent="0.3">
      <c r="B199" s="9" t="s">
        <v>44</v>
      </c>
      <c r="C199" s="9">
        <v>0</v>
      </c>
      <c r="D199" s="9">
        <v>0</v>
      </c>
      <c r="E199" s="9">
        <v>0</v>
      </c>
      <c r="F199" s="9">
        <v>0</v>
      </c>
      <c r="G199" s="9">
        <f t="shared" si="7"/>
        <v>0</v>
      </c>
    </row>
    <row r="200" spans="2:7" x14ac:dyDescent="0.3">
      <c r="B200" s="9" t="s">
        <v>45</v>
      </c>
      <c r="C200" s="9">
        <v>0</v>
      </c>
      <c r="D200" s="9">
        <v>0</v>
      </c>
      <c r="E200" s="9">
        <v>0</v>
      </c>
      <c r="F200" s="9">
        <v>0</v>
      </c>
      <c r="G200" s="9">
        <f t="shared" si="7"/>
        <v>0</v>
      </c>
    </row>
    <row r="201" spans="2:7" x14ac:dyDescent="0.3">
      <c r="B201" s="9" t="s">
        <v>207</v>
      </c>
      <c r="C201" s="9">
        <v>0</v>
      </c>
      <c r="D201" s="9">
        <v>0</v>
      </c>
      <c r="E201" s="9">
        <v>0</v>
      </c>
      <c r="F201" s="9">
        <v>0</v>
      </c>
      <c r="G201" s="9">
        <f t="shared" si="7"/>
        <v>0</v>
      </c>
    </row>
    <row r="202" spans="2:7" x14ac:dyDescent="0.3">
      <c r="B202" s="9" t="s">
        <v>46</v>
      </c>
      <c r="C202" s="9">
        <v>0</v>
      </c>
      <c r="D202" s="9">
        <v>1371</v>
      </c>
      <c r="E202" s="9">
        <v>35</v>
      </c>
      <c r="F202" s="9">
        <v>0</v>
      </c>
      <c r="G202" s="9">
        <f t="shared" si="7"/>
        <v>1406</v>
      </c>
    </row>
    <row r="203" spans="2:7" x14ac:dyDescent="0.3">
      <c r="B203" s="9" t="s">
        <v>47</v>
      </c>
      <c r="C203" s="9">
        <v>0</v>
      </c>
      <c r="D203" s="9">
        <v>0</v>
      </c>
      <c r="E203" s="9">
        <v>0</v>
      </c>
      <c r="F203" s="9">
        <v>0</v>
      </c>
      <c r="G203" s="9">
        <f t="shared" si="7"/>
        <v>0</v>
      </c>
    </row>
    <row r="204" spans="2:7" x14ac:dyDescent="0.3">
      <c r="B204" s="9" t="s">
        <v>48</v>
      </c>
      <c r="C204" s="9">
        <v>0</v>
      </c>
      <c r="D204" s="9">
        <v>0</v>
      </c>
      <c r="E204" s="9">
        <v>0</v>
      </c>
      <c r="F204" s="9">
        <v>0</v>
      </c>
      <c r="G204" s="9">
        <f t="shared" si="7"/>
        <v>0</v>
      </c>
    </row>
    <row r="205" spans="2:7" x14ac:dyDescent="0.3">
      <c r="B205" s="9" t="s">
        <v>49</v>
      </c>
      <c r="C205" s="9">
        <v>0</v>
      </c>
      <c r="D205" s="9">
        <v>0</v>
      </c>
      <c r="E205" s="9">
        <v>0</v>
      </c>
      <c r="F205" s="9">
        <v>0</v>
      </c>
      <c r="G205" s="9">
        <f t="shared" si="7"/>
        <v>0</v>
      </c>
    </row>
    <row r="206" spans="2:7" x14ac:dyDescent="0.3">
      <c r="B206" s="9" t="s">
        <v>208</v>
      </c>
      <c r="C206" s="9">
        <v>0</v>
      </c>
      <c r="D206" s="9">
        <v>0</v>
      </c>
      <c r="E206" s="9">
        <v>4</v>
      </c>
      <c r="F206" s="9">
        <v>0</v>
      </c>
      <c r="G206" s="9">
        <f t="shared" si="7"/>
        <v>4</v>
      </c>
    </row>
    <row r="207" spans="2:7" x14ac:dyDescent="0.3">
      <c r="B207" s="9" t="s">
        <v>50</v>
      </c>
      <c r="C207" s="9">
        <v>0</v>
      </c>
      <c r="D207" s="9">
        <v>0</v>
      </c>
      <c r="E207" s="9">
        <v>0</v>
      </c>
      <c r="F207" s="9">
        <v>0</v>
      </c>
      <c r="G207" s="9">
        <f t="shared" si="7"/>
        <v>0</v>
      </c>
    </row>
    <row r="208" spans="2:7" x14ac:dyDescent="0.3">
      <c r="B208" s="9" t="s">
        <v>51</v>
      </c>
      <c r="C208" s="9">
        <v>4</v>
      </c>
      <c r="D208" s="9">
        <v>0</v>
      </c>
      <c r="E208" s="9">
        <v>0</v>
      </c>
      <c r="F208" s="9">
        <v>0</v>
      </c>
      <c r="G208" s="9">
        <f t="shared" si="7"/>
        <v>4</v>
      </c>
    </row>
    <row r="209" spans="2:7" x14ac:dyDescent="0.3">
      <c r="B209" s="9" t="s">
        <v>52</v>
      </c>
      <c r="C209" s="9">
        <v>0</v>
      </c>
      <c r="D209" s="9">
        <v>0</v>
      </c>
      <c r="E209" s="9">
        <v>0</v>
      </c>
      <c r="F209" s="9">
        <v>0</v>
      </c>
      <c r="G209" s="9">
        <f t="shared" si="7"/>
        <v>0</v>
      </c>
    </row>
    <row r="210" spans="2:7" x14ac:dyDescent="0.3">
      <c r="B210" s="9" t="s">
        <v>53</v>
      </c>
      <c r="C210" s="9">
        <v>25</v>
      </c>
      <c r="D210" s="9">
        <v>0</v>
      </c>
      <c r="E210" s="9">
        <v>0</v>
      </c>
      <c r="F210" s="9">
        <v>0</v>
      </c>
      <c r="G210" s="9">
        <f t="shared" si="7"/>
        <v>25</v>
      </c>
    </row>
    <row r="211" spans="2:7" x14ac:dyDescent="0.3">
      <c r="B211" s="9" t="s">
        <v>54</v>
      </c>
      <c r="C211" s="9">
        <v>6</v>
      </c>
      <c r="D211" s="9">
        <v>0</v>
      </c>
      <c r="E211" s="9">
        <v>0</v>
      </c>
      <c r="F211" s="9">
        <v>0</v>
      </c>
      <c r="G211" s="9">
        <f t="shared" si="7"/>
        <v>6</v>
      </c>
    </row>
    <row r="212" spans="2:7" x14ac:dyDescent="0.3">
      <c r="B212" s="9" t="s">
        <v>55</v>
      </c>
      <c r="C212" s="9">
        <v>0</v>
      </c>
      <c r="D212" s="9">
        <v>0</v>
      </c>
      <c r="E212" s="9">
        <v>0</v>
      </c>
      <c r="F212" s="9">
        <v>0</v>
      </c>
      <c r="G212" s="9">
        <f t="shared" si="7"/>
        <v>0</v>
      </c>
    </row>
    <row r="213" spans="2:7" x14ac:dyDescent="0.3">
      <c r="B213" s="9" t="s">
        <v>209</v>
      </c>
      <c r="C213" s="9">
        <v>0</v>
      </c>
      <c r="D213" s="9">
        <v>0</v>
      </c>
      <c r="E213" s="9">
        <v>0</v>
      </c>
      <c r="F213" s="9">
        <v>0</v>
      </c>
      <c r="G213" s="9">
        <f t="shared" si="7"/>
        <v>0</v>
      </c>
    </row>
    <row r="214" spans="2:7" x14ac:dyDescent="0.3">
      <c r="B214" s="9" t="s">
        <v>56</v>
      </c>
      <c r="C214" s="9">
        <v>0</v>
      </c>
      <c r="D214" s="9">
        <v>0</v>
      </c>
      <c r="E214" s="9">
        <v>0</v>
      </c>
      <c r="F214" s="9">
        <v>0</v>
      </c>
      <c r="G214" s="9">
        <f t="shared" si="7"/>
        <v>0</v>
      </c>
    </row>
    <row r="215" spans="2:7" x14ac:dyDescent="0.3">
      <c r="B215" s="9" t="s">
        <v>57</v>
      </c>
      <c r="C215" s="9">
        <v>0</v>
      </c>
      <c r="D215" s="9">
        <v>0</v>
      </c>
      <c r="E215" s="9">
        <v>0</v>
      </c>
      <c r="F215" s="9">
        <v>0</v>
      </c>
      <c r="G215" s="9">
        <f t="shared" si="7"/>
        <v>0</v>
      </c>
    </row>
    <row r="216" spans="2:7" x14ac:dyDescent="0.3">
      <c r="B216" s="9" t="s">
        <v>210</v>
      </c>
      <c r="C216" s="9">
        <v>0</v>
      </c>
      <c r="D216" s="9">
        <v>0</v>
      </c>
      <c r="E216" s="9">
        <v>0</v>
      </c>
      <c r="F216" s="9">
        <v>0</v>
      </c>
      <c r="G216" s="9">
        <f t="shared" si="7"/>
        <v>0</v>
      </c>
    </row>
    <row r="217" spans="2:7" x14ac:dyDescent="0.3">
      <c r="B217" s="9" t="s">
        <v>58</v>
      </c>
      <c r="C217" s="9">
        <v>0</v>
      </c>
      <c r="D217" s="9">
        <v>0</v>
      </c>
      <c r="E217" s="9">
        <v>0</v>
      </c>
      <c r="F217" s="9">
        <v>0</v>
      </c>
      <c r="G217" s="9">
        <f t="shared" si="7"/>
        <v>0</v>
      </c>
    </row>
    <row r="218" spans="2:7" x14ac:dyDescent="0.3">
      <c r="B218" s="9" t="s">
        <v>211</v>
      </c>
      <c r="C218" s="9">
        <v>0</v>
      </c>
      <c r="D218" s="9">
        <v>0</v>
      </c>
      <c r="E218" s="9">
        <v>0</v>
      </c>
      <c r="F218" s="9">
        <v>0</v>
      </c>
      <c r="G218" s="9">
        <f t="shared" si="7"/>
        <v>0</v>
      </c>
    </row>
    <row r="219" spans="2:7" x14ac:dyDescent="0.3">
      <c r="B219" s="9" t="s">
        <v>212</v>
      </c>
      <c r="C219" s="9">
        <v>0</v>
      </c>
      <c r="D219" s="9">
        <v>0</v>
      </c>
      <c r="E219" s="9">
        <v>0</v>
      </c>
      <c r="F219" s="9">
        <v>0</v>
      </c>
      <c r="G219" s="9">
        <f t="shared" si="7"/>
        <v>0</v>
      </c>
    </row>
    <row r="220" spans="2:7" x14ac:dyDescent="0.3">
      <c r="B220" s="9" t="s">
        <v>213</v>
      </c>
      <c r="C220" s="9">
        <v>0</v>
      </c>
      <c r="D220" s="9">
        <v>0</v>
      </c>
      <c r="E220" s="9">
        <v>0</v>
      </c>
      <c r="F220" s="9">
        <v>0</v>
      </c>
      <c r="G220" s="9">
        <f t="shared" si="7"/>
        <v>0</v>
      </c>
    </row>
    <row r="221" spans="2:7" x14ac:dyDescent="0.3">
      <c r="B221" s="9" t="s">
        <v>59</v>
      </c>
      <c r="C221" s="9">
        <v>0</v>
      </c>
      <c r="D221" s="9">
        <v>0</v>
      </c>
      <c r="E221" s="9">
        <v>0</v>
      </c>
      <c r="F221" s="9">
        <v>0</v>
      </c>
      <c r="G221" s="9">
        <f t="shared" si="7"/>
        <v>0</v>
      </c>
    </row>
    <row r="222" spans="2:7" x14ac:dyDescent="0.3">
      <c r="B222" s="9" t="s">
        <v>214</v>
      </c>
      <c r="C222" s="9">
        <v>0</v>
      </c>
      <c r="D222" s="9">
        <v>0</v>
      </c>
      <c r="E222" s="9">
        <v>0</v>
      </c>
      <c r="F222" s="9">
        <v>0</v>
      </c>
      <c r="G222" s="9">
        <f t="shared" si="7"/>
        <v>0</v>
      </c>
    </row>
    <row r="223" spans="2:7" x14ac:dyDescent="0.3">
      <c r="B223" s="9" t="s">
        <v>60</v>
      </c>
      <c r="C223" s="9">
        <v>120</v>
      </c>
      <c r="D223" s="9">
        <v>0</v>
      </c>
      <c r="E223" s="9">
        <v>83</v>
      </c>
      <c r="F223" s="9">
        <v>0</v>
      </c>
      <c r="G223" s="9">
        <f t="shared" si="7"/>
        <v>203</v>
      </c>
    </row>
    <row r="224" spans="2:7" x14ac:dyDescent="0.3">
      <c r="B224" s="9" t="s">
        <v>61</v>
      </c>
      <c r="C224" s="9">
        <v>0</v>
      </c>
      <c r="D224" s="9">
        <v>0</v>
      </c>
      <c r="E224" s="9">
        <v>0</v>
      </c>
      <c r="F224" s="9">
        <v>0</v>
      </c>
      <c r="G224" s="9">
        <f t="shared" si="7"/>
        <v>0</v>
      </c>
    </row>
    <row r="225" spans="2:7" x14ac:dyDescent="0.3">
      <c r="B225" s="9" t="s">
        <v>78</v>
      </c>
      <c r="C225" s="9">
        <v>0</v>
      </c>
      <c r="D225" s="9">
        <v>0</v>
      </c>
      <c r="E225" s="9">
        <v>0</v>
      </c>
      <c r="F225" s="9">
        <v>0</v>
      </c>
      <c r="G225" s="9">
        <f t="shared" si="7"/>
        <v>0</v>
      </c>
    </row>
    <row r="226" spans="2:7" x14ac:dyDescent="0.3">
      <c r="B226" s="9" t="s">
        <v>62</v>
      </c>
      <c r="C226" s="9">
        <v>0</v>
      </c>
      <c r="D226" s="9">
        <v>0</v>
      </c>
      <c r="E226" s="9">
        <v>0</v>
      </c>
      <c r="F226" s="9">
        <v>0</v>
      </c>
      <c r="G226" s="9">
        <f t="shared" si="7"/>
        <v>0</v>
      </c>
    </row>
    <row r="227" spans="2:7" x14ac:dyDescent="0.3">
      <c r="B227" s="9" t="s">
        <v>314</v>
      </c>
      <c r="C227" s="9">
        <v>0</v>
      </c>
      <c r="D227" s="9">
        <v>0</v>
      </c>
      <c r="E227" s="9">
        <v>0</v>
      </c>
      <c r="F227" s="9">
        <v>0</v>
      </c>
      <c r="G227" s="9">
        <f t="shared" si="7"/>
        <v>0</v>
      </c>
    </row>
    <row r="228" spans="2:7" x14ac:dyDescent="0.3">
      <c r="B228" s="9" t="s">
        <v>79</v>
      </c>
      <c r="C228" s="9">
        <v>0</v>
      </c>
      <c r="D228" s="9">
        <v>0</v>
      </c>
      <c r="E228" s="9">
        <v>0</v>
      </c>
      <c r="F228" s="9">
        <v>0</v>
      </c>
      <c r="G228" s="9">
        <f t="shared" si="7"/>
        <v>0</v>
      </c>
    </row>
    <row r="229" spans="2:7" x14ac:dyDescent="0.3">
      <c r="B229" s="9" t="s">
        <v>215</v>
      </c>
      <c r="C229" s="9">
        <v>0</v>
      </c>
      <c r="D229" s="9">
        <v>0</v>
      </c>
      <c r="E229" s="9">
        <v>0</v>
      </c>
      <c r="F229" s="9">
        <v>0</v>
      </c>
      <c r="G229" s="9">
        <f t="shared" si="7"/>
        <v>0</v>
      </c>
    </row>
    <row r="230" spans="2:7" x14ac:dyDescent="0.3">
      <c r="B230" s="9" t="s">
        <v>63</v>
      </c>
      <c r="C230" s="9">
        <v>0</v>
      </c>
      <c r="D230" s="9">
        <v>0</v>
      </c>
      <c r="E230" s="9">
        <v>0</v>
      </c>
      <c r="F230" s="9">
        <v>0</v>
      </c>
      <c r="G230" s="9">
        <f t="shared" si="7"/>
        <v>0</v>
      </c>
    </row>
    <row r="231" spans="2:7" x14ac:dyDescent="0.3">
      <c r="B231" s="9" t="s">
        <v>216</v>
      </c>
      <c r="C231" s="9">
        <v>0</v>
      </c>
      <c r="D231" s="9">
        <v>0</v>
      </c>
      <c r="E231" s="9">
        <v>0</v>
      </c>
      <c r="F231" s="9">
        <v>0</v>
      </c>
      <c r="G231" s="9">
        <f t="shared" si="7"/>
        <v>0</v>
      </c>
    </row>
    <row r="232" spans="2:7" x14ac:dyDescent="0.3">
      <c r="B232" s="9" t="s">
        <v>64</v>
      </c>
      <c r="C232" s="9">
        <v>0</v>
      </c>
      <c r="D232" s="9">
        <v>0</v>
      </c>
      <c r="E232" s="9">
        <v>0</v>
      </c>
      <c r="F232" s="9">
        <v>0</v>
      </c>
      <c r="G232" s="9">
        <f t="shared" si="7"/>
        <v>0</v>
      </c>
    </row>
    <row r="233" spans="2:7" x14ac:dyDescent="0.3">
      <c r="B233" s="9" t="s">
        <v>65</v>
      </c>
      <c r="C233" s="9">
        <v>0</v>
      </c>
      <c r="D233" s="9">
        <v>0</v>
      </c>
      <c r="E233" s="9">
        <v>0</v>
      </c>
      <c r="F233" s="9">
        <v>0</v>
      </c>
      <c r="G233" s="9">
        <f t="shared" si="7"/>
        <v>0</v>
      </c>
    </row>
    <row r="234" spans="2:7" x14ac:dyDescent="0.3">
      <c r="B234" s="9" t="s">
        <v>217</v>
      </c>
      <c r="C234" s="9">
        <v>0</v>
      </c>
      <c r="D234" s="9">
        <v>0</v>
      </c>
      <c r="E234" s="9">
        <v>0</v>
      </c>
      <c r="F234" s="9">
        <v>0</v>
      </c>
      <c r="G234" s="9">
        <f t="shared" si="7"/>
        <v>0</v>
      </c>
    </row>
    <row r="235" spans="2:7" ht="15" thickBot="1" x14ac:dyDescent="0.35">
      <c r="B235" s="28" t="s">
        <v>66</v>
      </c>
      <c r="C235" s="28">
        <v>0</v>
      </c>
      <c r="D235" s="28">
        <v>0</v>
      </c>
      <c r="E235" s="28">
        <v>0</v>
      </c>
      <c r="F235" s="28">
        <v>0</v>
      </c>
      <c r="G235" s="28">
        <f t="shared" si="7"/>
        <v>0</v>
      </c>
    </row>
    <row r="236" spans="2:7" x14ac:dyDescent="0.3">
      <c r="B236" s="27" t="s">
        <v>269</v>
      </c>
      <c r="C236" s="27">
        <f>SUM(C195:C235)</f>
        <v>21408</v>
      </c>
      <c r="D236" s="27">
        <f>SUM(D195:D235)</f>
        <v>1371</v>
      </c>
      <c r="E236" s="27">
        <f>SUM(E195:E235)</f>
        <v>61228</v>
      </c>
      <c r="F236" s="27">
        <f>SUM(F195:F235)</f>
        <v>0</v>
      </c>
      <c r="G236" s="27">
        <f>SUM(G195:G235)</f>
        <v>84007</v>
      </c>
    </row>
    <row r="237" spans="2:7" x14ac:dyDescent="0.3">
      <c r="B237" s="8" t="s">
        <v>226</v>
      </c>
      <c r="C237" s="23">
        <f>C236 / G236</f>
        <v>0.25483590653159854</v>
      </c>
      <c r="D237" s="23">
        <f>D236 / G236</f>
        <v>1.6320068565714763E-2</v>
      </c>
      <c r="E237" s="23">
        <f>E236 / G236</f>
        <v>0.72884402490268663</v>
      </c>
      <c r="F237" s="23">
        <f>F236 / G236</f>
        <v>0</v>
      </c>
      <c r="G237" s="23">
        <f>G236 / G236</f>
        <v>1</v>
      </c>
    </row>
    <row r="239" spans="2:7" x14ac:dyDescent="0.3">
      <c r="B239" s="11" t="s">
        <v>259</v>
      </c>
      <c r="C239" s="12"/>
      <c r="D239" s="12"/>
      <c r="E239" s="12"/>
      <c r="F239" s="12"/>
      <c r="G239" s="12"/>
    </row>
    <row r="240" spans="2:7" x14ac:dyDescent="0.3">
      <c r="B240" s="12"/>
      <c r="C240" s="12"/>
      <c r="D240" s="12"/>
      <c r="E240" s="12"/>
      <c r="F240" s="12"/>
      <c r="G240" s="12"/>
    </row>
    <row r="241" spans="2:7" s="6" customFormat="1" ht="120" customHeight="1" x14ac:dyDescent="0.3">
      <c r="B241" s="20" t="s">
        <v>1</v>
      </c>
      <c r="C241" s="20" t="s">
        <v>119</v>
      </c>
      <c r="D241" s="20" t="s">
        <v>73</v>
      </c>
      <c r="E241" s="20" t="s">
        <v>74</v>
      </c>
      <c r="F241" s="20" t="s">
        <v>145</v>
      </c>
      <c r="G241" s="21" t="s">
        <v>224</v>
      </c>
    </row>
    <row r="242" spans="2:7" x14ac:dyDescent="0.3">
      <c r="B242" s="9" t="s">
        <v>41</v>
      </c>
      <c r="C242" s="9">
        <v>818</v>
      </c>
      <c r="D242" s="9">
        <v>110</v>
      </c>
      <c r="E242" s="9">
        <v>3112</v>
      </c>
      <c r="F242" s="9">
        <v>2729</v>
      </c>
      <c r="G242" s="9">
        <f t="shared" ref="G242:G282" si="8">SUM(C242:F242)</f>
        <v>6769</v>
      </c>
    </row>
    <row r="243" spans="2:7" x14ac:dyDescent="0.3">
      <c r="B243" s="9" t="s">
        <v>76</v>
      </c>
      <c r="C243" s="9">
        <v>269</v>
      </c>
      <c r="D243" s="9">
        <v>3</v>
      </c>
      <c r="E243" s="9">
        <v>721</v>
      </c>
      <c r="F243" s="9">
        <v>95</v>
      </c>
      <c r="G243" s="9">
        <f t="shared" si="8"/>
        <v>1088</v>
      </c>
    </row>
    <row r="244" spans="2:7" x14ac:dyDescent="0.3">
      <c r="B244" s="9" t="s">
        <v>42</v>
      </c>
      <c r="C244" s="9">
        <v>14</v>
      </c>
      <c r="D244" s="9">
        <v>0</v>
      </c>
      <c r="E244" s="9">
        <v>28</v>
      </c>
      <c r="F244" s="9">
        <v>0</v>
      </c>
      <c r="G244" s="9">
        <f t="shared" si="8"/>
        <v>42</v>
      </c>
    </row>
    <row r="245" spans="2:7" x14ac:dyDescent="0.3">
      <c r="B245" s="9" t="s">
        <v>43</v>
      </c>
      <c r="C245" s="9">
        <v>0</v>
      </c>
      <c r="D245" s="9">
        <v>0</v>
      </c>
      <c r="E245" s="9">
        <v>0</v>
      </c>
      <c r="F245" s="9">
        <v>0</v>
      </c>
      <c r="G245" s="9">
        <f t="shared" si="8"/>
        <v>0</v>
      </c>
    </row>
    <row r="246" spans="2:7" x14ac:dyDescent="0.3">
      <c r="B246" s="9" t="s">
        <v>44</v>
      </c>
      <c r="C246" s="9">
        <v>0</v>
      </c>
      <c r="D246" s="9">
        <v>0</v>
      </c>
      <c r="E246" s="9">
        <v>0</v>
      </c>
      <c r="F246" s="9">
        <v>0</v>
      </c>
      <c r="G246" s="9">
        <f t="shared" si="8"/>
        <v>0</v>
      </c>
    </row>
    <row r="247" spans="2:7" x14ac:dyDescent="0.3">
      <c r="B247" s="9" t="s">
        <v>45</v>
      </c>
      <c r="C247" s="9">
        <v>0</v>
      </c>
      <c r="D247" s="9">
        <v>0</v>
      </c>
      <c r="E247" s="9">
        <v>0</v>
      </c>
      <c r="F247" s="9">
        <v>71</v>
      </c>
      <c r="G247" s="9">
        <f t="shared" si="8"/>
        <v>71</v>
      </c>
    </row>
    <row r="248" spans="2:7" x14ac:dyDescent="0.3">
      <c r="B248" s="9" t="s">
        <v>207</v>
      </c>
      <c r="C248" s="9">
        <v>0</v>
      </c>
      <c r="D248" s="9">
        <v>0</v>
      </c>
      <c r="E248" s="9">
        <v>0</v>
      </c>
      <c r="F248" s="9">
        <v>184</v>
      </c>
      <c r="G248" s="9">
        <f t="shared" si="8"/>
        <v>184</v>
      </c>
    </row>
    <row r="249" spans="2:7" x14ac:dyDescent="0.3">
      <c r="B249" s="9" t="s">
        <v>46</v>
      </c>
      <c r="C249" s="9">
        <v>19210</v>
      </c>
      <c r="D249" s="9">
        <v>0</v>
      </c>
      <c r="E249" s="9">
        <v>35442</v>
      </c>
      <c r="F249" s="9">
        <v>617</v>
      </c>
      <c r="G249" s="9">
        <f t="shared" si="8"/>
        <v>55269</v>
      </c>
    </row>
    <row r="250" spans="2:7" x14ac:dyDescent="0.3">
      <c r="B250" s="9" t="s">
        <v>47</v>
      </c>
      <c r="C250" s="9">
        <v>106</v>
      </c>
      <c r="D250" s="9">
        <v>0</v>
      </c>
      <c r="E250" s="9">
        <v>0</v>
      </c>
      <c r="F250" s="9">
        <v>27</v>
      </c>
      <c r="G250" s="9">
        <f t="shared" si="8"/>
        <v>133</v>
      </c>
    </row>
    <row r="251" spans="2:7" x14ac:dyDescent="0.3">
      <c r="B251" s="9" t="s">
        <v>48</v>
      </c>
      <c r="C251" s="9">
        <v>442</v>
      </c>
      <c r="D251" s="9">
        <v>0</v>
      </c>
      <c r="E251" s="9">
        <v>0</v>
      </c>
      <c r="F251" s="9">
        <v>0</v>
      </c>
      <c r="G251" s="9">
        <f t="shared" si="8"/>
        <v>442</v>
      </c>
    </row>
    <row r="252" spans="2:7" x14ac:dyDescent="0.3">
      <c r="B252" s="9" t="s">
        <v>49</v>
      </c>
      <c r="C252" s="9">
        <v>0</v>
      </c>
      <c r="D252" s="9">
        <v>0</v>
      </c>
      <c r="E252" s="9">
        <v>0</v>
      </c>
      <c r="F252" s="9">
        <v>0</v>
      </c>
      <c r="G252" s="9">
        <f t="shared" si="8"/>
        <v>0</v>
      </c>
    </row>
    <row r="253" spans="2:7" x14ac:dyDescent="0.3">
      <c r="B253" s="9" t="s">
        <v>208</v>
      </c>
      <c r="C253" s="9">
        <v>0</v>
      </c>
      <c r="D253" s="9">
        <v>0</v>
      </c>
      <c r="E253" s="9">
        <v>0</v>
      </c>
      <c r="F253" s="9">
        <v>0</v>
      </c>
      <c r="G253" s="9">
        <f t="shared" si="8"/>
        <v>0</v>
      </c>
    </row>
    <row r="254" spans="2:7" x14ac:dyDescent="0.3">
      <c r="B254" s="9" t="s">
        <v>50</v>
      </c>
      <c r="C254" s="9">
        <v>43</v>
      </c>
      <c r="D254" s="9">
        <v>0</v>
      </c>
      <c r="E254" s="9">
        <v>0</v>
      </c>
      <c r="F254" s="9">
        <v>0</v>
      </c>
      <c r="G254" s="9">
        <f t="shared" si="8"/>
        <v>43</v>
      </c>
    </row>
    <row r="255" spans="2:7" x14ac:dyDescent="0.3">
      <c r="B255" s="9" t="s">
        <v>51</v>
      </c>
      <c r="C255" s="9">
        <v>1</v>
      </c>
      <c r="D255" s="9">
        <v>0</v>
      </c>
      <c r="E255" s="9">
        <v>0</v>
      </c>
      <c r="F255" s="9">
        <v>0</v>
      </c>
      <c r="G255" s="9">
        <f t="shared" si="8"/>
        <v>1</v>
      </c>
    </row>
    <row r="256" spans="2:7" x14ac:dyDescent="0.3">
      <c r="B256" s="9" t="s">
        <v>52</v>
      </c>
      <c r="C256" s="9">
        <v>4</v>
      </c>
      <c r="D256" s="9">
        <v>0</v>
      </c>
      <c r="E256" s="9">
        <v>4</v>
      </c>
      <c r="F256" s="9">
        <v>0</v>
      </c>
      <c r="G256" s="9">
        <f t="shared" si="8"/>
        <v>8</v>
      </c>
    </row>
    <row r="257" spans="2:7" x14ac:dyDescent="0.3">
      <c r="B257" s="9" t="s">
        <v>53</v>
      </c>
      <c r="C257" s="9">
        <v>644</v>
      </c>
      <c r="D257" s="9">
        <v>0</v>
      </c>
      <c r="E257" s="9">
        <v>128</v>
      </c>
      <c r="F257" s="9">
        <v>24</v>
      </c>
      <c r="G257" s="9">
        <f t="shared" si="8"/>
        <v>796</v>
      </c>
    </row>
    <row r="258" spans="2:7" x14ac:dyDescent="0.3">
      <c r="B258" s="9" t="s">
        <v>54</v>
      </c>
      <c r="C258" s="9">
        <v>116</v>
      </c>
      <c r="D258" s="9">
        <v>0</v>
      </c>
      <c r="E258" s="9">
        <v>4</v>
      </c>
      <c r="F258" s="9">
        <v>28</v>
      </c>
      <c r="G258" s="9">
        <f t="shared" si="8"/>
        <v>148</v>
      </c>
    </row>
    <row r="259" spans="2:7" x14ac:dyDescent="0.3">
      <c r="B259" s="9" t="s">
        <v>55</v>
      </c>
      <c r="C259" s="9">
        <v>0</v>
      </c>
      <c r="D259" s="9">
        <v>0</v>
      </c>
      <c r="E259" s="9">
        <v>0</v>
      </c>
      <c r="F259" s="9">
        <v>0</v>
      </c>
      <c r="G259" s="9">
        <f t="shared" si="8"/>
        <v>0</v>
      </c>
    </row>
    <row r="260" spans="2:7" x14ac:dyDescent="0.3">
      <c r="B260" s="9" t="s">
        <v>209</v>
      </c>
      <c r="C260" s="9">
        <v>0</v>
      </c>
      <c r="D260" s="9">
        <v>0</v>
      </c>
      <c r="E260" s="9">
        <v>0</v>
      </c>
      <c r="F260" s="9">
        <v>0</v>
      </c>
      <c r="G260" s="9">
        <f t="shared" si="8"/>
        <v>0</v>
      </c>
    </row>
    <row r="261" spans="2:7" x14ac:dyDescent="0.3">
      <c r="B261" s="9" t="s">
        <v>56</v>
      </c>
      <c r="C261" s="9">
        <v>0</v>
      </c>
      <c r="D261" s="9">
        <v>0</v>
      </c>
      <c r="E261" s="9">
        <v>0</v>
      </c>
      <c r="F261" s="9">
        <v>0</v>
      </c>
      <c r="G261" s="9">
        <f t="shared" si="8"/>
        <v>0</v>
      </c>
    </row>
    <row r="262" spans="2:7" x14ac:dyDescent="0.3">
      <c r="B262" s="9" t="s">
        <v>57</v>
      </c>
      <c r="C262" s="9">
        <v>0</v>
      </c>
      <c r="D262" s="9">
        <v>0</v>
      </c>
      <c r="E262" s="9">
        <v>0</v>
      </c>
      <c r="F262" s="9">
        <v>0</v>
      </c>
      <c r="G262" s="9">
        <f t="shared" si="8"/>
        <v>0</v>
      </c>
    </row>
    <row r="263" spans="2:7" x14ac:dyDescent="0.3">
      <c r="B263" s="9" t="s">
        <v>210</v>
      </c>
      <c r="C263" s="9">
        <v>0</v>
      </c>
      <c r="D263" s="9">
        <v>0</v>
      </c>
      <c r="E263" s="9">
        <v>0</v>
      </c>
      <c r="F263" s="9">
        <v>0</v>
      </c>
      <c r="G263" s="9">
        <f t="shared" si="8"/>
        <v>0</v>
      </c>
    </row>
    <row r="264" spans="2:7" x14ac:dyDescent="0.3">
      <c r="B264" s="9" t="s">
        <v>58</v>
      </c>
      <c r="C264" s="9">
        <v>0</v>
      </c>
      <c r="D264" s="9">
        <v>0</v>
      </c>
      <c r="E264" s="9">
        <v>0</v>
      </c>
      <c r="F264" s="9">
        <v>0</v>
      </c>
      <c r="G264" s="9">
        <f t="shared" si="8"/>
        <v>0</v>
      </c>
    </row>
    <row r="265" spans="2:7" x14ac:dyDescent="0.3">
      <c r="B265" s="9" t="s">
        <v>211</v>
      </c>
      <c r="C265" s="9">
        <v>0</v>
      </c>
      <c r="D265" s="9">
        <v>0</v>
      </c>
      <c r="E265" s="9">
        <v>0</v>
      </c>
      <c r="F265" s="9">
        <v>0</v>
      </c>
      <c r="G265" s="9">
        <f t="shared" si="8"/>
        <v>0</v>
      </c>
    </row>
    <row r="266" spans="2:7" x14ac:dyDescent="0.3">
      <c r="B266" s="9" t="s">
        <v>212</v>
      </c>
      <c r="C266" s="9">
        <v>0</v>
      </c>
      <c r="D266" s="9">
        <v>0</v>
      </c>
      <c r="E266" s="9">
        <v>0</v>
      </c>
      <c r="F266" s="9">
        <v>0</v>
      </c>
      <c r="G266" s="9">
        <f t="shared" si="8"/>
        <v>0</v>
      </c>
    </row>
    <row r="267" spans="2:7" x14ac:dyDescent="0.3">
      <c r="B267" s="9" t="s">
        <v>213</v>
      </c>
      <c r="C267" s="9">
        <v>0</v>
      </c>
      <c r="D267" s="9">
        <v>0</v>
      </c>
      <c r="E267" s="9">
        <v>0</v>
      </c>
      <c r="F267" s="9">
        <v>0</v>
      </c>
      <c r="G267" s="9">
        <f t="shared" si="8"/>
        <v>0</v>
      </c>
    </row>
    <row r="268" spans="2:7" x14ac:dyDescent="0.3">
      <c r="B268" s="9" t="s">
        <v>59</v>
      </c>
      <c r="C268" s="9">
        <v>0</v>
      </c>
      <c r="D268" s="9">
        <v>0</v>
      </c>
      <c r="E268" s="9">
        <v>0</v>
      </c>
      <c r="F268" s="9">
        <v>0</v>
      </c>
      <c r="G268" s="9">
        <f t="shared" si="8"/>
        <v>0</v>
      </c>
    </row>
    <row r="269" spans="2:7" x14ac:dyDescent="0.3">
      <c r="B269" s="9" t="s">
        <v>214</v>
      </c>
      <c r="C269" s="9">
        <v>3</v>
      </c>
      <c r="D269" s="9">
        <v>0</v>
      </c>
      <c r="E269" s="9">
        <v>0</v>
      </c>
      <c r="F269" s="9">
        <v>0</v>
      </c>
      <c r="G269" s="9">
        <f t="shared" si="8"/>
        <v>3</v>
      </c>
    </row>
    <row r="270" spans="2:7" x14ac:dyDescent="0.3">
      <c r="B270" s="9" t="s">
        <v>60</v>
      </c>
      <c r="C270" s="9">
        <v>62</v>
      </c>
      <c r="D270" s="9">
        <v>0</v>
      </c>
      <c r="E270" s="9">
        <v>115</v>
      </c>
      <c r="F270" s="9">
        <v>0</v>
      </c>
      <c r="G270" s="9">
        <f t="shared" si="8"/>
        <v>177</v>
      </c>
    </row>
    <row r="271" spans="2:7" x14ac:dyDescent="0.3">
      <c r="B271" s="9" t="s">
        <v>61</v>
      </c>
      <c r="C271" s="9">
        <v>3</v>
      </c>
      <c r="D271" s="9">
        <v>0</v>
      </c>
      <c r="E271" s="9">
        <v>0</v>
      </c>
      <c r="F271" s="9">
        <v>0</v>
      </c>
      <c r="G271" s="9">
        <f t="shared" si="8"/>
        <v>3</v>
      </c>
    </row>
    <row r="272" spans="2:7" x14ac:dyDescent="0.3">
      <c r="B272" s="9" t="s">
        <v>78</v>
      </c>
      <c r="C272" s="9">
        <v>0</v>
      </c>
      <c r="D272" s="9">
        <v>0</v>
      </c>
      <c r="E272" s="9">
        <v>0</v>
      </c>
      <c r="F272" s="9">
        <v>0</v>
      </c>
      <c r="G272" s="9">
        <f t="shared" si="8"/>
        <v>0</v>
      </c>
    </row>
    <row r="273" spans="2:21" x14ac:dyDescent="0.3">
      <c r="B273" s="9" t="s">
        <v>62</v>
      </c>
      <c r="C273" s="9">
        <v>0</v>
      </c>
      <c r="D273" s="9">
        <v>0</v>
      </c>
      <c r="E273" s="9">
        <v>0</v>
      </c>
      <c r="F273" s="9">
        <v>0</v>
      </c>
      <c r="G273" s="9">
        <f t="shared" si="8"/>
        <v>0</v>
      </c>
    </row>
    <row r="274" spans="2:21" x14ac:dyDescent="0.3">
      <c r="B274" s="9" t="s">
        <v>314</v>
      </c>
      <c r="C274" s="9">
        <v>0</v>
      </c>
      <c r="D274" s="9">
        <v>0</v>
      </c>
      <c r="E274" s="9">
        <v>0</v>
      </c>
      <c r="F274" s="9">
        <v>0</v>
      </c>
      <c r="G274" s="9">
        <f t="shared" si="8"/>
        <v>0</v>
      </c>
    </row>
    <row r="275" spans="2:21" x14ac:dyDescent="0.3">
      <c r="B275" s="9" t="s">
        <v>79</v>
      </c>
      <c r="C275" s="9">
        <v>0</v>
      </c>
      <c r="D275" s="9">
        <v>0</v>
      </c>
      <c r="E275" s="9">
        <v>0</v>
      </c>
      <c r="F275" s="9">
        <v>0</v>
      </c>
      <c r="G275" s="9">
        <f t="shared" si="8"/>
        <v>0</v>
      </c>
    </row>
    <row r="276" spans="2:21" x14ac:dyDescent="0.3">
      <c r="B276" s="9" t="s">
        <v>215</v>
      </c>
      <c r="C276" s="9">
        <v>0</v>
      </c>
      <c r="D276" s="9">
        <v>0</v>
      </c>
      <c r="E276" s="9">
        <v>0</v>
      </c>
      <c r="F276" s="9">
        <v>0</v>
      </c>
      <c r="G276" s="9">
        <f t="shared" si="8"/>
        <v>0</v>
      </c>
    </row>
    <row r="277" spans="2:21" x14ac:dyDescent="0.3">
      <c r="B277" s="9" t="s">
        <v>63</v>
      </c>
      <c r="C277" s="9">
        <v>0</v>
      </c>
      <c r="D277" s="9">
        <v>0</v>
      </c>
      <c r="E277" s="9">
        <v>0</v>
      </c>
      <c r="F277" s="9">
        <v>0</v>
      </c>
      <c r="G277" s="9">
        <f t="shared" si="8"/>
        <v>0</v>
      </c>
    </row>
    <row r="278" spans="2:21" x14ac:dyDescent="0.3">
      <c r="B278" s="9" t="s">
        <v>216</v>
      </c>
      <c r="C278" s="9">
        <v>0</v>
      </c>
      <c r="D278" s="9">
        <v>0</v>
      </c>
      <c r="E278" s="9">
        <v>0</v>
      </c>
      <c r="F278" s="9">
        <v>0</v>
      </c>
      <c r="G278" s="9">
        <f t="shared" si="8"/>
        <v>0</v>
      </c>
    </row>
    <row r="279" spans="2:21" x14ac:dyDescent="0.3">
      <c r="B279" s="9" t="s">
        <v>64</v>
      </c>
      <c r="C279" s="9">
        <v>0</v>
      </c>
      <c r="D279" s="9">
        <v>0</v>
      </c>
      <c r="E279" s="9">
        <v>0</v>
      </c>
      <c r="F279" s="9">
        <v>640</v>
      </c>
      <c r="G279" s="9">
        <f t="shared" si="8"/>
        <v>640</v>
      </c>
    </row>
    <row r="280" spans="2:21" x14ac:dyDescent="0.3">
      <c r="B280" s="9" t="s">
        <v>65</v>
      </c>
      <c r="C280" s="9">
        <v>0</v>
      </c>
      <c r="D280" s="9">
        <v>0</v>
      </c>
      <c r="E280" s="9">
        <v>0</v>
      </c>
      <c r="F280" s="9">
        <v>0</v>
      </c>
      <c r="G280" s="9">
        <f t="shared" si="8"/>
        <v>0</v>
      </c>
    </row>
    <row r="281" spans="2:21" x14ac:dyDescent="0.3">
      <c r="B281" s="9" t="s">
        <v>217</v>
      </c>
      <c r="C281" s="9">
        <v>0</v>
      </c>
      <c r="D281" s="9">
        <v>0</v>
      </c>
      <c r="E281" s="9">
        <v>0</v>
      </c>
      <c r="F281" s="9">
        <v>395</v>
      </c>
      <c r="G281" s="9">
        <f t="shared" si="8"/>
        <v>395</v>
      </c>
    </row>
    <row r="282" spans="2:21" ht="15" thickBot="1" x14ac:dyDescent="0.35">
      <c r="B282" s="28" t="s">
        <v>66</v>
      </c>
      <c r="C282" s="28">
        <v>0</v>
      </c>
      <c r="D282" s="28">
        <v>0</v>
      </c>
      <c r="E282" s="28">
        <v>0</v>
      </c>
      <c r="F282" s="28">
        <v>0</v>
      </c>
      <c r="G282" s="28">
        <f t="shared" si="8"/>
        <v>0</v>
      </c>
    </row>
    <row r="283" spans="2:21" x14ac:dyDescent="0.3">
      <c r="B283" s="27" t="s">
        <v>269</v>
      </c>
      <c r="C283" s="27">
        <f>SUM(C242:C282)</f>
        <v>21735</v>
      </c>
      <c r="D283" s="27">
        <f>SUM(D242:D282)</f>
        <v>113</v>
      </c>
      <c r="E283" s="27">
        <f>SUM(E242:E282)</f>
        <v>39554</v>
      </c>
      <c r="F283" s="27">
        <f>SUM(F242:F282)</f>
        <v>4810</v>
      </c>
      <c r="G283" s="27">
        <f>SUM(G242:G282)</f>
        <v>66212</v>
      </c>
    </row>
    <row r="284" spans="2:21" x14ac:dyDescent="0.3">
      <c r="B284" s="8" t="s">
        <v>226</v>
      </c>
      <c r="C284" s="23">
        <f>C283 / G283</f>
        <v>0.32826375883525644</v>
      </c>
      <c r="D284" s="23">
        <f>D283 / G283</f>
        <v>1.706639279888842E-3</v>
      </c>
      <c r="E284" s="23">
        <f>E283 / G283</f>
        <v>0.59738415997100225</v>
      </c>
      <c r="F284" s="23">
        <f>F283 / G283</f>
        <v>7.2645441913852471E-2</v>
      </c>
      <c r="G284" s="23">
        <f>G283 / G283</f>
        <v>1</v>
      </c>
    </row>
    <row r="286" spans="2:21" x14ac:dyDescent="0.3">
      <c r="B286" s="11" t="s">
        <v>260</v>
      </c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</row>
    <row r="287" spans="2:21" x14ac:dyDescent="0.3"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</row>
    <row r="288" spans="2:21" s="6" customFormat="1" ht="105" customHeight="1" x14ac:dyDescent="0.3">
      <c r="B288" s="20" t="s">
        <v>1</v>
      </c>
      <c r="C288" s="20" t="s">
        <v>38</v>
      </c>
      <c r="D288" s="20" t="s">
        <v>120</v>
      </c>
      <c r="E288" s="20" t="s">
        <v>121</v>
      </c>
      <c r="F288" s="20" t="s">
        <v>122</v>
      </c>
      <c r="G288" s="20" t="s">
        <v>39</v>
      </c>
      <c r="H288" s="20" t="s">
        <v>123</v>
      </c>
      <c r="I288" s="20" t="s">
        <v>124</v>
      </c>
      <c r="J288" s="20" t="s">
        <v>125</v>
      </c>
      <c r="K288" s="20" t="s">
        <v>245</v>
      </c>
      <c r="L288" s="20" t="s">
        <v>127</v>
      </c>
      <c r="M288" s="20" t="s">
        <v>247</v>
      </c>
      <c r="N288" s="20" t="s">
        <v>248</v>
      </c>
      <c r="O288" s="20" t="s">
        <v>130</v>
      </c>
      <c r="P288" s="20" t="s">
        <v>40</v>
      </c>
      <c r="Q288" s="20" t="s">
        <v>250</v>
      </c>
      <c r="R288" s="20" t="s">
        <v>251</v>
      </c>
      <c r="S288" s="20" t="s">
        <v>71</v>
      </c>
      <c r="T288" s="20" t="s">
        <v>252</v>
      </c>
      <c r="U288" s="21" t="s">
        <v>224</v>
      </c>
    </row>
    <row r="289" spans="2:21" x14ac:dyDescent="0.3">
      <c r="B289" s="24" t="s">
        <v>41</v>
      </c>
      <c r="C289" s="24">
        <v>2020</v>
      </c>
      <c r="D289" s="24">
        <v>0</v>
      </c>
      <c r="E289" s="24">
        <v>2024</v>
      </c>
      <c r="F289" s="24">
        <v>0</v>
      </c>
      <c r="G289" s="24">
        <v>1155</v>
      </c>
      <c r="H289" s="24">
        <v>4059</v>
      </c>
      <c r="I289" s="24">
        <v>1001</v>
      </c>
      <c r="J289" s="24">
        <v>0</v>
      </c>
      <c r="K289" s="24">
        <v>0</v>
      </c>
      <c r="L289" s="24">
        <v>0</v>
      </c>
      <c r="M289" s="24">
        <v>13855</v>
      </c>
      <c r="N289" s="24">
        <v>13868</v>
      </c>
      <c r="O289" s="24">
        <v>0</v>
      </c>
      <c r="P289" s="24">
        <v>0</v>
      </c>
      <c r="Q289" s="24">
        <v>0</v>
      </c>
      <c r="R289" s="24">
        <v>525</v>
      </c>
      <c r="S289" s="24">
        <v>0</v>
      </c>
      <c r="T289" s="24">
        <v>139</v>
      </c>
      <c r="U289" s="24">
        <f t="shared" ref="U289:U329" si="9">SUM(C289:T289)</f>
        <v>38646</v>
      </c>
    </row>
    <row r="290" spans="2:21" x14ac:dyDescent="0.3">
      <c r="B290" s="24" t="s">
        <v>76</v>
      </c>
      <c r="C290" s="24">
        <v>1564</v>
      </c>
      <c r="D290" s="24">
        <v>16</v>
      </c>
      <c r="E290" s="24">
        <v>0</v>
      </c>
      <c r="F290" s="24">
        <v>0</v>
      </c>
      <c r="G290" s="24">
        <v>6961</v>
      </c>
      <c r="H290" s="24">
        <v>1136</v>
      </c>
      <c r="I290" s="24">
        <v>1784</v>
      </c>
      <c r="J290" s="24">
        <v>28436</v>
      </c>
      <c r="K290" s="24">
        <v>17524</v>
      </c>
      <c r="L290" s="24">
        <v>262</v>
      </c>
      <c r="M290" s="24">
        <v>4252</v>
      </c>
      <c r="N290" s="24">
        <v>4266</v>
      </c>
      <c r="O290" s="24">
        <v>0</v>
      </c>
      <c r="P290" s="24">
        <v>0</v>
      </c>
      <c r="Q290" s="24">
        <v>0</v>
      </c>
      <c r="R290" s="24">
        <v>0</v>
      </c>
      <c r="S290" s="24">
        <v>2013</v>
      </c>
      <c r="T290" s="24">
        <v>359</v>
      </c>
      <c r="U290" s="24">
        <f t="shared" si="9"/>
        <v>68573</v>
      </c>
    </row>
    <row r="291" spans="2:21" x14ac:dyDescent="0.3">
      <c r="B291" s="24" t="s">
        <v>42</v>
      </c>
      <c r="C291" s="24">
        <v>10</v>
      </c>
      <c r="D291" s="24">
        <v>0</v>
      </c>
      <c r="E291" s="24">
        <v>1715</v>
      </c>
      <c r="F291" s="24">
        <v>0</v>
      </c>
      <c r="G291" s="24">
        <v>0</v>
      </c>
      <c r="H291" s="24">
        <v>0</v>
      </c>
      <c r="I291" s="24">
        <v>0</v>
      </c>
      <c r="J291" s="24">
        <v>0</v>
      </c>
      <c r="K291" s="24">
        <v>0</v>
      </c>
      <c r="L291" s="24">
        <v>0</v>
      </c>
      <c r="M291" s="24">
        <v>9</v>
      </c>
      <c r="N291" s="24">
        <v>0</v>
      </c>
      <c r="O291" s="24">
        <v>0</v>
      </c>
      <c r="P291" s="24">
        <v>0</v>
      </c>
      <c r="Q291" s="24">
        <v>0</v>
      </c>
      <c r="R291" s="24">
        <v>0</v>
      </c>
      <c r="S291" s="24">
        <v>0</v>
      </c>
      <c r="T291" s="24">
        <v>22</v>
      </c>
      <c r="U291" s="24">
        <f t="shared" si="9"/>
        <v>1756</v>
      </c>
    </row>
    <row r="292" spans="2:21" x14ac:dyDescent="0.3">
      <c r="B292" s="24" t="s">
        <v>43</v>
      </c>
      <c r="C292" s="24">
        <v>0</v>
      </c>
      <c r="D292" s="24">
        <v>4</v>
      </c>
      <c r="E292" s="24">
        <v>0</v>
      </c>
      <c r="F292" s="24">
        <v>0</v>
      </c>
      <c r="G292" s="24">
        <v>0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0</v>
      </c>
      <c r="N292" s="24">
        <v>29</v>
      </c>
      <c r="O292" s="24">
        <v>0</v>
      </c>
      <c r="P292" s="24">
        <v>0</v>
      </c>
      <c r="Q292" s="24">
        <v>0</v>
      </c>
      <c r="R292" s="24">
        <v>0</v>
      </c>
      <c r="S292" s="24">
        <v>0</v>
      </c>
      <c r="T292" s="24">
        <v>0</v>
      </c>
      <c r="U292" s="24">
        <f t="shared" si="9"/>
        <v>33</v>
      </c>
    </row>
    <row r="293" spans="2:21" x14ac:dyDescent="0.3">
      <c r="B293" s="24" t="s">
        <v>44</v>
      </c>
      <c r="C293" s="24">
        <v>0</v>
      </c>
      <c r="D293" s="24">
        <v>0</v>
      </c>
      <c r="E293" s="24">
        <v>0</v>
      </c>
      <c r="F293" s="24">
        <v>0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0</v>
      </c>
      <c r="O293" s="24">
        <v>0</v>
      </c>
      <c r="P293" s="24">
        <v>0</v>
      </c>
      <c r="Q293" s="24">
        <v>0</v>
      </c>
      <c r="R293" s="24">
        <v>0</v>
      </c>
      <c r="S293" s="24">
        <v>0</v>
      </c>
      <c r="T293" s="24">
        <v>0</v>
      </c>
      <c r="U293" s="24">
        <f t="shared" si="9"/>
        <v>0</v>
      </c>
    </row>
    <row r="294" spans="2:21" x14ac:dyDescent="0.3">
      <c r="B294" s="24" t="s">
        <v>45</v>
      </c>
      <c r="C294" s="24">
        <v>0</v>
      </c>
      <c r="D294" s="24">
        <v>0</v>
      </c>
      <c r="E294" s="24">
        <v>0</v>
      </c>
      <c r="F294" s="24">
        <v>0</v>
      </c>
      <c r="G294" s="24">
        <v>0</v>
      </c>
      <c r="H294" s="24">
        <v>0</v>
      </c>
      <c r="I294" s="24">
        <v>0</v>
      </c>
      <c r="J294" s="24">
        <v>0</v>
      </c>
      <c r="K294" s="24">
        <v>0</v>
      </c>
      <c r="L294" s="24">
        <v>0</v>
      </c>
      <c r="M294" s="24">
        <v>0</v>
      </c>
      <c r="N294" s="24">
        <v>304</v>
      </c>
      <c r="O294" s="24">
        <v>0</v>
      </c>
      <c r="P294" s="24">
        <v>0</v>
      </c>
      <c r="Q294" s="24">
        <v>0</v>
      </c>
      <c r="R294" s="24">
        <v>0</v>
      </c>
      <c r="S294" s="24">
        <v>0</v>
      </c>
      <c r="T294" s="24">
        <v>0</v>
      </c>
      <c r="U294" s="24">
        <f t="shared" si="9"/>
        <v>304</v>
      </c>
    </row>
    <row r="295" spans="2:21" x14ac:dyDescent="0.3">
      <c r="B295" s="24" t="s">
        <v>207</v>
      </c>
      <c r="C295" s="24">
        <v>0</v>
      </c>
      <c r="D295" s="24">
        <v>0</v>
      </c>
      <c r="E295" s="24">
        <v>0</v>
      </c>
      <c r="F295" s="24">
        <v>0</v>
      </c>
      <c r="G295" s="24">
        <v>0</v>
      </c>
      <c r="H295" s="24">
        <v>0</v>
      </c>
      <c r="I295" s="24">
        <v>0</v>
      </c>
      <c r="J295" s="24">
        <v>0</v>
      </c>
      <c r="K295" s="24">
        <v>0</v>
      </c>
      <c r="L295" s="24">
        <v>0</v>
      </c>
      <c r="M295" s="24">
        <v>0</v>
      </c>
      <c r="N295" s="24">
        <v>0</v>
      </c>
      <c r="O295" s="24">
        <v>0</v>
      </c>
      <c r="P295" s="24">
        <v>0</v>
      </c>
      <c r="Q295" s="24">
        <v>0</v>
      </c>
      <c r="R295" s="24">
        <v>2715</v>
      </c>
      <c r="S295" s="24">
        <v>0</v>
      </c>
      <c r="T295" s="24">
        <v>0</v>
      </c>
      <c r="U295" s="24">
        <f t="shared" si="9"/>
        <v>2715</v>
      </c>
    </row>
    <row r="296" spans="2:21" x14ac:dyDescent="0.3">
      <c r="B296" s="24" t="s">
        <v>46</v>
      </c>
      <c r="C296" s="24">
        <v>19</v>
      </c>
      <c r="D296" s="24">
        <v>277</v>
      </c>
      <c r="E296" s="24">
        <v>4</v>
      </c>
      <c r="F296" s="24">
        <v>28</v>
      </c>
      <c r="G296" s="24">
        <v>277</v>
      </c>
      <c r="H296" s="24">
        <v>0</v>
      </c>
      <c r="I296" s="24">
        <v>0</v>
      </c>
      <c r="J296" s="24">
        <v>264</v>
      </c>
      <c r="K296" s="24">
        <v>3630</v>
      </c>
      <c r="L296" s="24">
        <v>0</v>
      </c>
      <c r="M296" s="24">
        <v>19</v>
      </c>
      <c r="N296" s="24">
        <v>146</v>
      </c>
      <c r="O296" s="24">
        <v>0</v>
      </c>
      <c r="P296" s="24">
        <v>11</v>
      </c>
      <c r="Q296" s="24">
        <v>0</v>
      </c>
      <c r="R296" s="24">
        <v>0</v>
      </c>
      <c r="S296" s="24">
        <v>0</v>
      </c>
      <c r="T296" s="24">
        <v>119</v>
      </c>
      <c r="U296" s="24">
        <f t="shared" si="9"/>
        <v>4794</v>
      </c>
    </row>
    <row r="297" spans="2:21" x14ac:dyDescent="0.3">
      <c r="B297" s="24" t="s">
        <v>47</v>
      </c>
      <c r="C297" s="24">
        <v>0</v>
      </c>
      <c r="D297" s="24">
        <v>0</v>
      </c>
      <c r="E297" s="24">
        <v>0</v>
      </c>
      <c r="F297" s="24">
        <v>0</v>
      </c>
      <c r="G297" s="24">
        <v>0</v>
      </c>
      <c r="H297" s="24">
        <v>0</v>
      </c>
      <c r="I297" s="24">
        <v>0</v>
      </c>
      <c r="J297" s="24">
        <v>0</v>
      </c>
      <c r="K297" s="24">
        <v>0</v>
      </c>
      <c r="L297" s="24">
        <v>0</v>
      </c>
      <c r="M297" s="24">
        <v>143</v>
      </c>
      <c r="N297" s="24">
        <v>84</v>
      </c>
      <c r="O297" s="24">
        <v>0</v>
      </c>
      <c r="P297" s="24">
        <v>0</v>
      </c>
      <c r="Q297" s="24">
        <v>0</v>
      </c>
      <c r="R297" s="24">
        <v>121</v>
      </c>
      <c r="S297" s="24">
        <v>0</v>
      </c>
      <c r="T297" s="24">
        <v>0</v>
      </c>
      <c r="U297" s="24">
        <f t="shared" si="9"/>
        <v>348</v>
      </c>
    </row>
    <row r="298" spans="2:21" x14ac:dyDescent="0.3">
      <c r="B298" s="24" t="s">
        <v>48</v>
      </c>
      <c r="C298" s="24">
        <v>46</v>
      </c>
      <c r="D298" s="24">
        <v>0</v>
      </c>
      <c r="E298" s="24">
        <v>0</v>
      </c>
      <c r="F298" s="24">
        <v>0</v>
      </c>
      <c r="G298" s="24">
        <v>257</v>
      </c>
      <c r="H298" s="24">
        <v>0</v>
      </c>
      <c r="I298" s="24">
        <v>0</v>
      </c>
      <c r="J298" s="24">
        <v>0</v>
      </c>
      <c r="K298" s="24">
        <v>0</v>
      </c>
      <c r="L298" s="24">
        <v>0</v>
      </c>
      <c r="M298" s="24">
        <v>321</v>
      </c>
      <c r="N298" s="24">
        <v>217</v>
      </c>
      <c r="O298" s="24">
        <v>0</v>
      </c>
      <c r="P298" s="24">
        <v>0</v>
      </c>
      <c r="Q298" s="24">
        <v>0</v>
      </c>
      <c r="R298" s="24">
        <v>71</v>
      </c>
      <c r="S298" s="24">
        <v>0</v>
      </c>
      <c r="T298" s="24">
        <v>0</v>
      </c>
      <c r="U298" s="24">
        <f t="shared" si="9"/>
        <v>912</v>
      </c>
    </row>
    <row r="299" spans="2:21" x14ac:dyDescent="0.3">
      <c r="B299" s="24" t="s">
        <v>49</v>
      </c>
      <c r="C299" s="24">
        <v>0</v>
      </c>
      <c r="D299" s="24">
        <v>0</v>
      </c>
      <c r="E299" s="24">
        <v>0</v>
      </c>
      <c r="F299" s="24">
        <v>0</v>
      </c>
      <c r="G299" s="24">
        <v>0</v>
      </c>
      <c r="H299" s="24">
        <v>0</v>
      </c>
      <c r="I299" s="24">
        <v>0</v>
      </c>
      <c r="J299" s="24">
        <v>0</v>
      </c>
      <c r="K299" s="24">
        <v>0</v>
      </c>
      <c r="L299" s="24">
        <v>0</v>
      </c>
      <c r="M299" s="24">
        <v>0</v>
      </c>
      <c r="N299" s="24">
        <v>0</v>
      </c>
      <c r="O299" s="24">
        <v>0</v>
      </c>
      <c r="P299" s="24">
        <v>0</v>
      </c>
      <c r="Q299" s="24">
        <v>0</v>
      </c>
      <c r="R299" s="24">
        <v>0</v>
      </c>
      <c r="S299" s="24">
        <v>0</v>
      </c>
      <c r="T299" s="24">
        <v>0</v>
      </c>
      <c r="U299" s="24">
        <f t="shared" si="9"/>
        <v>0</v>
      </c>
    </row>
    <row r="300" spans="2:21" x14ac:dyDescent="0.3">
      <c r="B300" s="24" t="s">
        <v>208</v>
      </c>
      <c r="C300" s="24">
        <v>0</v>
      </c>
      <c r="D300" s="24">
        <v>0</v>
      </c>
      <c r="E300" s="24">
        <v>0</v>
      </c>
      <c r="F300" s="24">
        <v>0</v>
      </c>
      <c r="G300" s="24">
        <v>0</v>
      </c>
      <c r="H300" s="24">
        <v>0</v>
      </c>
      <c r="I300" s="24">
        <v>0</v>
      </c>
      <c r="J300" s="24">
        <v>0</v>
      </c>
      <c r="K300" s="24">
        <v>0</v>
      </c>
      <c r="L300" s="24">
        <v>0</v>
      </c>
      <c r="M300" s="24">
        <v>0</v>
      </c>
      <c r="N300" s="24">
        <v>0</v>
      </c>
      <c r="O300" s="24">
        <v>0</v>
      </c>
      <c r="P300" s="24">
        <v>0</v>
      </c>
      <c r="Q300" s="24">
        <v>0</v>
      </c>
      <c r="R300" s="24">
        <v>0</v>
      </c>
      <c r="S300" s="24">
        <v>0</v>
      </c>
      <c r="T300" s="24">
        <v>0</v>
      </c>
      <c r="U300" s="24">
        <f t="shared" si="9"/>
        <v>0</v>
      </c>
    </row>
    <row r="301" spans="2:21" x14ac:dyDescent="0.3">
      <c r="B301" s="24" t="s">
        <v>50</v>
      </c>
      <c r="C301" s="24">
        <v>0</v>
      </c>
      <c r="D301" s="24">
        <v>0</v>
      </c>
      <c r="E301" s="24">
        <v>0</v>
      </c>
      <c r="F301" s="24">
        <v>0</v>
      </c>
      <c r="G301" s="24">
        <v>0</v>
      </c>
      <c r="H301" s="24">
        <v>0</v>
      </c>
      <c r="I301" s="24">
        <v>0</v>
      </c>
      <c r="J301" s="24">
        <v>0</v>
      </c>
      <c r="K301" s="24">
        <v>0</v>
      </c>
      <c r="L301" s="24">
        <v>0</v>
      </c>
      <c r="M301" s="24">
        <v>0</v>
      </c>
      <c r="N301" s="24">
        <v>0</v>
      </c>
      <c r="O301" s="24">
        <v>0</v>
      </c>
      <c r="P301" s="24">
        <v>0</v>
      </c>
      <c r="Q301" s="24">
        <v>0</v>
      </c>
      <c r="R301" s="24">
        <v>0</v>
      </c>
      <c r="S301" s="24">
        <v>0</v>
      </c>
      <c r="T301" s="24">
        <v>0</v>
      </c>
      <c r="U301" s="24">
        <f t="shared" si="9"/>
        <v>0</v>
      </c>
    </row>
    <row r="302" spans="2:21" x14ac:dyDescent="0.3">
      <c r="B302" s="24" t="s">
        <v>51</v>
      </c>
      <c r="C302" s="24">
        <v>0</v>
      </c>
      <c r="D302" s="24">
        <v>0</v>
      </c>
      <c r="E302" s="24">
        <v>0</v>
      </c>
      <c r="F302" s="24">
        <v>0</v>
      </c>
      <c r="G302" s="24">
        <v>30</v>
      </c>
      <c r="H302" s="24">
        <v>0</v>
      </c>
      <c r="I302" s="24">
        <v>0</v>
      </c>
      <c r="J302" s="24">
        <v>0</v>
      </c>
      <c r="K302" s="24">
        <v>0</v>
      </c>
      <c r="L302" s="24">
        <v>0</v>
      </c>
      <c r="M302" s="24">
        <v>60</v>
      </c>
      <c r="N302" s="24">
        <v>152</v>
      </c>
      <c r="O302" s="24">
        <v>0</v>
      </c>
      <c r="P302" s="24">
        <v>0</v>
      </c>
      <c r="Q302" s="24">
        <v>0</v>
      </c>
      <c r="R302" s="24">
        <v>891</v>
      </c>
      <c r="S302" s="24">
        <v>0</v>
      </c>
      <c r="T302" s="24">
        <v>27</v>
      </c>
      <c r="U302" s="24">
        <f t="shared" si="9"/>
        <v>1160</v>
      </c>
    </row>
    <row r="303" spans="2:21" x14ac:dyDescent="0.3">
      <c r="B303" s="24" t="s">
        <v>52</v>
      </c>
      <c r="C303" s="24">
        <v>0</v>
      </c>
      <c r="D303" s="24">
        <v>0</v>
      </c>
      <c r="E303" s="24">
        <v>0</v>
      </c>
      <c r="F303" s="24">
        <v>0</v>
      </c>
      <c r="G303" s="24">
        <v>0</v>
      </c>
      <c r="H303" s="24">
        <v>0</v>
      </c>
      <c r="I303" s="24">
        <v>0</v>
      </c>
      <c r="J303" s="24">
        <v>0</v>
      </c>
      <c r="K303" s="24">
        <v>0</v>
      </c>
      <c r="L303" s="24">
        <v>0</v>
      </c>
      <c r="M303" s="24">
        <v>2</v>
      </c>
      <c r="N303" s="24">
        <v>0</v>
      </c>
      <c r="O303" s="24">
        <v>0</v>
      </c>
      <c r="P303" s="24">
        <v>0</v>
      </c>
      <c r="Q303" s="24">
        <v>0</v>
      </c>
      <c r="R303" s="24">
        <v>0</v>
      </c>
      <c r="S303" s="24">
        <v>0</v>
      </c>
      <c r="T303" s="24">
        <v>0</v>
      </c>
      <c r="U303" s="24">
        <f t="shared" si="9"/>
        <v>2</v>
      </c>
    </row>
    <row r="304" spans="2:21" x14ac:dyDescent="0.3">
      <c r="B304" s="24" t="s">
        <v>53</v>
      </c>
      <c r="C304" s="24">
        <v>0</v>
      </c>
      <c r="D304" s="24">
        <v>0</v>
      </c>
      <c r="E304" s="24">
        <v>0</v>
      </c>
      <c r="F304" s="24">
        <v>0</v>
      </c>
      <c r="G304" s="24">
        <v>0</v>
      </c>
      <c r="H304" s="24">
        <v>0</v>
      </c>
      <c r="I304" s="24">
        <v>0</v>
      </c>
      <c r="J304" s="24">
        <v>0</v>
      </c>
      <c r="K304" s="24">
        <v>0</v>
      </c>
      <c r="L304" s="24">
        <v>0</v>
      </c>
      <c r="M304" s="24">
        <v>0</v>
      </c>
      <c r="N304" s="24">
        <v>18</v>
      </c>
      <c r="O304" s="24">
        <v>0</v>
      </c>
      <c r="P304" s="24">
        <v>0</v>
      </c>
      <c r="Q304" s="24">
        <v>16</v>
      </c>
      <c r="R304" s="24">
        <v>0</v>
      </c>
      <c r="S304" s="24">
        <v>0</v>
      </c>
      <c r="T304" s="24">
        <v>3</v>
      </c>
      <c r="U304" s="24">
        <f t="shared" si="9"/>
        <v>37</v>
      </c>
    </row>
    <row r="305" spans="2:21" x14ac:dyDescent="0.3">
      <c r="B305" s="24" t="s">
        <v>54</v>
      </c>
      <c r="C305" s="24">
        <v>0</v>
      </c>
      <c r="D305" s="24">
        <v>0</v>
      </c>
      <c r="E305" s="24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42</v>
      </c>
      <c r="N305" s="24">
        <v>0</v>
      </c>
      <c r="O305" s="24">
        <v>0</v>
      </c>
      <c r="P305" s="24">
        <v>0</v>
      </c>
      <c r="Q305" s="24">
        <v>0</v>
      </c>
      <c r="R305" s="24">
        <v>47</v>
      </c>
      <c r="S305" s="24">
        <v>0</v>
      </c>
      <c r="T305" s="24">
        <v>0</v>
      </c>
      <c r="U305" s="24">
        <f t="shared" si="9"/>
        <v>89</v>
      </c>
    </row>
    <row r="306" spans="2:21" x14ac:dyDescent="0.3">
      <c r="B306" s="24" t="s">
        <v>55</v>
      </c>
      <c r="C306" s="24">
        <v>0</v>
      </c>
      <c r="D306" s="24">
        <v>0</v>
      </c>
      <c r="E306" s="24">
        <v>0</v>
      </c>
      <c r="F306" s="24">
        <v>0</v>
      </c>
      <c r="G306" s="24">
        <v>0</v>
      </c>
      <c r="H306" s="24">
        <v>0</v>
      </c>
      <c r="I306" s="24">
        <v>0</v>
      </c>
      <c r="J306" s="24">
        <v>0</v>
      </c>
      <c r="K306" s="24">
        <v>0</v>
      </c>
      <c r="L306" s="24">
        <v>0</v>
      </c>
      <c r="M306" s="24">
        <v>0</v>
      </c>
      <c r="N306" s="24">
        <v>0</v>
      </c>
      <c r="O306" s="24">
        <v>0</v>
      </c>
      <c r="P306" s="24">
        <v>0</v>
      </c>
      <c r="Q306" s="24">
        <v>0</v>
      </c>
      <c r="R306" s="24">
        <v>0</v>
      </c>
      <c r="S306" s="24">
        <v>0</v>
      </c>
      <c r="T306" s="24">
        <v>0</v>
      </c>
      <c r="U306" s="24">
        <f t="shared" si="9"/>
        <v>0</v>
      </c>
    </row>
    <row r="307" spans="2:21" x14ac:dyDescent="0.3">
      <c r="B307" s="24" t="s">
        <v>209</v>
      </c>
      <c r="C307" s="24">
        <v>0</v>
      </c>
      <c r="D307" s="24">
        <v>0</v>
      </c>
      <c r="E307" s="24">
        <v>0</v>
      </c>
      <c r="F307" s="24">
        <v>0</v>
      </c>
      <c r="G307" s="24">
        <v>37</v>
      </c>
      <c r="H307" s="24">
        <v>0</v>
      </c>
      <c r="I307" s="24">
        <v>0</v>
      </c>
      <c r="J307" s="24">
        <v>0</v>
      </c>
      <c r="K307" s="24">
        <v>9</v>
      </c>
      <c r="L307" s="24">
        <v>0</v>
      </c>
      <c r="M307" s="24">
        <v>9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  <c r="S307" s="24">
        <v>0</v>
      </c>
      <c r="T307" s="24">
        <v>2</v>
      </c>
      <c r="U307" s="24">
        <f t="shared" si="9"/>
        <v>57</v>
      </c>
    </row>
    <row r="308" spans="2:21" x14ac:dyDescent="0.3">
      <c r="B308" s="24" t="s">
        <v>56</v>
      </c>
      <c r="C308" s="24">
        <v>0</v>
      </c>
      <c r="D308" s="24">
        <v>0</v>
      </c>
      <c r="E308" s="24">
        <v>0</v>
      </c>
      <c r="F308" s="24">
        <v>0</v>
      </c>
      <c r="G308" s="24">
        <v>1314</v>
      </c>
      <c r="H308" s="24">
        <v>0</v>
      </c>
      <c r="I308" s="24">
        <v>0</v>
      </c>
      <c r="J308" s="24">
        <v>0</v>
      </c>
      <c r="K308" s="24">
        <v>62</v>
      </c>
      <c r="L308" s="24">
        <v>0</v>
      </c>
      <c r="M308" s="24">
        <v>203</v>
      </c>
      <c r="N308" s="24">
        <v>13</v>
      </c>
      <c r="O308" s="24">
        <v>0</v>
      </c>
      <c r="P308" s="24">
        <v>0</v>
      </c>
      <c r="Q308" s="24">
        <v>0</v>
      </c>
      <c r="R308" s="24">
        <v>0</v>
      </c>
      <c r="S308" s="24">
        <v>0</v>
      </c>
      <c r="T308" s="24">
        <v>56</v>
      </c>
      <c r="U308" s="24">
        <f t="shared" si="9"/>
        <v>1648</v>
      </c>
    </row>
    <row r="309" spans="2:21" x14ac:dyDescent="0.3">
      <c r="B309" s="24" t="s">
        <v>57</v>
      </c>
      <c r="C309" s="24">
        <v>0</v>
      </c>
      <c r="D309" s="24">
        <v>0</v>
      </c>
      <c r="E309" s="24">
        <v>0</v>
      </c>
      <c r="F309" s="24">
        <v>0</v>
      </c>
      <c r="G309" s="24">
        <v>0</v>
      </c>
      <c r="H309" s="24">
        <v>0</v>
      </c>
      <c r="I309" s="24">
        <v>0</v>
      </c>
      <c r="J309" s="24">
        <v>0</v>
      </c>
      <c r="K309" s="24">
        <v>0</v>
      </c>
      <c r="L309" s="24">
        <v>0</v>
      </c>
      <c r="M309" s="24">
        <v>0</v>
      </c>
      <c r="N309" s="24">
        <v>0</v>
      </c>
      <c r="O309" s="24">
        <v>0</v>
      </c>
      <c r="P309" s="24">
        <v>0</v>
      </c>
      <c r="Q309" s="24">
        <v>0</v>
      </c>
      <c r="R309" s="24">
        <v>0</v>
      </c>
      <c r="S309" s="24">
        <v>0</v>
      </c>
      <c r="T309" s="24">
        <v>0</v>
      </c>
      <c r="U309" s="24">
        <f t="shared" si="9"/>
        <v>0</v>
      </c>
    </row>
    <row r="310" spans="2:21" x14ac:dyDescent="0.3">
      <c r="B310" s="24" t="s">
        <v>210</v>
      </c>
      <c r="C310" s="24">
        <v>0</v>
      </c>
      <c r="D310" s="24">
        <v>0</v>
      </c>
      <c r="E310" s="24">
        <v>0</v>
      </c>
      <c r="F310" s="24">
        <v>0</v>
      </c>
      <c r="G310" s="24">
        <v>0</v>
      </c>
      <c r="H310" s="24">
        <v>0</v>
      </c>
      <c r="I310" s="24">
        <v>0</v>
      </c>
      <c r="J310" s="24">
        <v>0</v>
      </c>
      <c r="K310" s="24">
        <v>0</v>
      </c>
      <c r="L310" s="24">
        <v>0</v>
      </c>
      <c r="M310" s="24">
        <v>0</v>
      </c>
      <c r="N310" s="24">
        <v>0</v>
      </c>
      <c r="O310" s="24">
        <v>0</v>
      </c>
      <c r="P310" s="24">
        <v>0</v>
      </c>
      <c r="Q310" s="24">
        <v>0</v>
      </c>
      <c r="R310" s="24">
        <v>0</v>
      </c>
      <c r="S310" s="24">
        <v>0</v>
      </c>
      <c r="T310" s="24">
        <v>0</v>
      </c>
      <c r="U310" s="24">
        <f t="shared" si="9"/>
        <v>0</v>
      </c>
    </row>
    <row r="311" spans="2:21" x14ac:dyDescent="0.3">
      <c r="B311" s="24" t="s">
        <v>58</v>
      </c>
      <c r="C311" s="24">
        <v>0</v>
      </c>
      <c r="D311" s="24">
        <v>0</v>
      </c>
      <c r="E311" s="24">
        <v>0</v>
      </c>
      <c r="F311" s="24">
        <v>0</v>
      </c>
      <c r="G311" s="24">
        <v>0</v>
      </c>
      <c r="H311" s="24">
        <v>0</v>
      </c>
      <c r="I311" s="24">
        <v>0</v>
      </c>
      <c r="J311" s="24">
        <v>0</v>
      </c>
      <c r="K311" s="24">
        <v>0</v>
      </c>
      <c r="L311" s="24">
        <v>0</v>
      </c>
      <c r="M311" s="24">
        <v>0</v>
      </c>
      <c r="N311" s="24">
        <v>0</v>
      </c>
      <c r="O311" s="24">
        <v>0</v>
      </c>
      <c r="P311" s="24">
        <v>0</v>
      </c>
      <c r="Q311" s="24">
        <v>0</v>
      </c>
      <c r="R311" s="24">
        <v>0</v>
      </c>
      <c r="S311" s="24">
        <v>0</v>
      </c>
      <c r="T311" s="24">
        <v>0</v>
      </c>
      <c r="U311" s="24">
        <f t="shared" si="9"/>
        <v>0</v>
      </c>
    </row>
    <row r="312" spans="2:21" x14ac:dyDescent="0.3">
      <c r="B312" s="24" t="s">
        <v>211</v>
      </c>
      <c r="C312" s="24">
        <v>0</v>
      </c>
      <c r="D312" s="24">
        <v>0</v>
      </c>
      <c r="E312" s="24">
        <v>0</v>
      </c>
      <c r="F312" s="24">
        <v>0</v>
      </c>
      <c r="G312" s="24">
        <v>0</v>
      </c>
      <c r="H312" s="24">
        <v>0</v>
      </c>
      <c r="I312" s="24">
        <v>0</v>
      </c>
      <c r="J312" s="24">
        <v>0</v>
      </c>
      <c r="K312" s="24">
        <v>0</v>
      </c>
      <c r="L312" s="24">
        <v>0</v>
      </c>
      <c r="M312" s="24">
        <v>0</v>
      </c>
      <c r="N312" s="24">
        <v>0</v>
      </c>
      <c r="O312" s="24">
        <v>0</v>
      </c>
      <c r="P312" s="24">
        <v>0</v>
      </c>
      <c r="Q312" s="24">
        <v>0</v>
      </c>
      <c r="R312" s="24">
        <v>0</v>
      </c>
      <c r="S312" s="24">
        <v>0</v>
      </c>
      <c r="T312" s="24">
        <v>0</v>
      </c>
      <c r="U312" s="24">
        <f t="shared" si="9"/>
        <v>0</v>
      </c>
    </row>
    <row r="313" spans="2:21" x14ac:dyDescent="0.3">
      <c r="B313" s="24" t="s">
        <v>212</v>
      </c>
      <c r="C313" s="24">
        <v>0</v>
      </c>
      <c r="D313" s="24">
        <v>0</v>
      </c>
      <c r="E313" s="24">
        <v>0</v>
      </c>
      <c r="F313" s="24">
        <v>0</v>
      </c>
      <c r="G313" s="24">
        <v>0</v>
      </c>
      <c r="H313" s="24">
        <v>0</v>
      </c>
      <c r="I313" s="24">
        <v>0</v>
      </c>
      <c r="J313" s="24">
        <v>0</v>
      </c>
      <c r="K313" s="24">
        <v>0</v>
      </c>
      <c r="L313" s="24">
        <v>0</v>
      </c>
      <c r="M313" s="24">
        <v>0</v>
      </c>
      <c r="N313" s="24">
        <v>0</v>
      </c>
      <c r="O313" s="24">
        <v>0</v>
      </c>
      <c r="P313" s="24">
        <v>0</v>
      </c>
      <c r="Q313" s="24">
        <v>0</v>
      </c>
      <c r="R313" s="24">
        <v>0</v>
      </c>
      <c r="S313" s="24">
        <v>0</v>
      </c>
      <c r="T313" s="24">
        <v>0</v>
      </c>
      <c r="U313" s="24">
        <f t="shared" si="9"/>
        <v>0</v>
      </c>
    </row>
    <row r="314" spans="2:21" x14ac:dyDescent="0.3">
      <c r="B314" s="24" t="s">
        <v>213</v>
      </c>
      <c r="C314" s="24">
        <v>0</v>
      </c>
      <c r="D314" s="24">
        <v>0</v>
      </c>
      <c r="E314" s="24">
        <v>0</v>
      </c>
      <c r="F314" s="24">
        <v>0</v>
      </c>
      <c r="G314" s="24">
        <v>0</v>
      </c>
      <c r="H314" s="24">
        <v>0</v>
      </c>
      <c r="I314" s="24">
        <v>0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  <c r="Q314" s="24">
        <v>0</v>
      </c>
      <c r="R314" s="24">
        <v>0</v>
      </c>
      <c r="S314" s="24">
        <v>0</v>
      </c>
      <c r="T314" s="24">
        <v>0</v>
      </c>
      <c r="U314" s="24">
        <f t="shared" si="9"/>
        <v>0</v>
      </c>
    </row>
    <row r="315" spans="2:21" x14ac:dyDescent="0.3">
      <c r="B315" s="24" t="s">
        <v>59</v>
      </c>
      <c r="C315" s="24">
        <v>0</v>
      </c>
      <c r="D315" s="24">
        <v>0</v>
      </c>
      <c r="E315" s="24">
        <v>0</v>
      </c>
      <c r="F315" s="24">
        <v>0</v>
      </c>
      <c r="G315" s="24">
        <v>0</v>
      </c>
      <c r="H315" s="24">
        <v>0</v>
      </c>
      <c r="I315" s="24">
        <v>0</v>
      </c>
      <c r="J315" s="24">
        <v>0</v>
      </c>
      <c r="K315" s="24">
        <v>0</v>
      </c>
      <c r="L315" s="24">
        <v>0</v>
      </c>
      <c r="M315" s="24">
        <v>0</v>
      </c>
      <c r="N315" s="24">
        <v>0</v>
      </c>
      <c r="O315" s="24">
        <v>0</v>
      </c>
      <c r="P315" s="24">
        <v>0</v>
      </c>
      <c r="Q315" s="24">
        <v>0</v>
      </c>
      <c r="R315" s="24">
        <v>0</v>
      </c>
      <c r="S315" s="24">
        <v>0</v>
      </c>
      <c r="T315" s="24">
        <v>0</v>
      </c>
      <c r="U315" s="24">
        <f t="shared" si="9"/>
        <v>0</v>
      </c>
    </row>
    <row r="316" spans="2:21" x14ac:dyDescent="0.3">
      <c r="B316" s="24" t="s">
        <v>214</v>
      </c>
      <c r="C316" s="24">
        <v>0</v>
      </c>
      <c r="D316" s="24">
        <v>0</v>
      </c>
      <c r="E316" s="24">
        <v>0</v>
      </c>
      <c r="F316" s="24">
        <v>0</v>
      </c>
      <c r="G316" s="24">
        <v>0</v>
      </c>
      <c r="H316" s="24">
        <v>0</v>
      </c>
      <c r="I316" s="24">
        <v>0</v>
      </c>
      <c r="J316" s="24">
        <v>0</v>
      </c>
      <c r="K316" s="24">
        <v>0</v>
      </c>
      <c r="L316" s="24">
        <v>0</v>
      </c>
      <c r="M316" s="24">
        <v>0</v>
      </c>
      <c r="N316" s="24">
        <v>0</v>
      </c>
      <c r="O316" s="24">
        <v>0</v>
      </c>
      <c r="P316" s="24">
        <v>0</v>
      </c>
      <c r="Q316" s="24">
        <v>0</v>
      </c>
      <c r="R316" s="24">
        <v>0</v>
      </c>
      <c r="S316" s="24">
        <v>0</v>
      </c>
      <c r="T316" s="24">
        <v>0</v>
      </c>
      <c r="U316" s="24">
        <f t="shared" si="9"/>
        <v>0</v>
      </c>
    </row>
    <row r="317" spans="2:21" x14ac:dyDescent="0.3">
      <c r="B317" s="24" t="s">
        <v>60</v>
      </c>
      <c r="C317" s="24">
        <v>0</v>
      </c>
      <c r="D317" s="24">
        <v>0</v>
      </c>
      <c r="E317" s="24">
        <v>0</v>
      </c>
      <c r="F317" s="24">
        <v>0</v>
      </c>
      <c r="G317" s="24">
        <v>0</v>
      </c>
      <c r="H317" s="24">
        <v>0</v>
      </c>
      <c r="I317" s="24">
        <v>0</v>
      </c>
      <c r="J317" s="24">
        <v>0</v>
      </c>
      <c r="K317" s="24">
        <v>0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  <c r="Q317" s="24">
        <v>0</v>
      </c>
      <c r="R317" s="24">
        <v>0</v>
      </c>
      <c r="S317" s="24">
        <v>0</v>
      </c>
      <c r="T317" s="24">
        <v>0</v>
      </c>
      <c r="U317" s="24">
        <f t="shared" si="9"/>
        <v>0</v>
      </c>
    </row>
    <row r="318" spans="2:21" x14ac:dyDescent="0.3">
      <c r="B318" s="24" t="s">
        <v>61</v>
      </c>
      <c r="C318" s="24">
        <v>0</v>
      </c>
      <c r="D318" s="24">
        <v>0</v>
      </c>
      <c r="E318" s="24">
        <v>0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  <c r="Q318" s="24">
        <v>0</v>
      </c>
      <c r="R318" s="24">
        <v>0</v>
      </c>
      <c r="S318" s="24">
        <v>0</v>
      </c>
      <c r="T318" s="24">
        <v>0</v>
      </c>
      <c r="U318" s="24">
        <f t="shared" si="9"/>
        <v>0</v>
      </c>
    </row>
    <row r="319" spans="2:21" x14ac:dyDescent="0.3">
      <c r="B319" s="24" t="s">
        <v>78</v>
      </c>
      <c r="C319" s="24">
        <v>0</v>
      </c>
      <c r="D319" s="24">
        <v>0</v>
      </c>
      <c r="E319" s="24">
        <v>0</v>
      </c>
      <c r="F319" s="24">
        <v>0</v>
      </c>
      <c r="G319" s="24">
        <v>0</v>
      </c>
      <c r="H319" s="24">
        <v>0</v>
      </c>
      <c r="I319" s="24">
        <v>0</v>
      </c>
      <c r="J319" s="24">
        <v>0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120</v>
      </c>
      <c r="Q319" s="24">
        <v>0</v>
      </c>
      <c r="R319" s="24">
        <v>0</v>
      </c>
      <c r="S319" s="24">
        <v>0</v>
      </c>
      <c r="T319" s="24">
        <v>0</v>
      </c>
      <c r="U319" s="24">
        <f t="shared" si="9"/>
        <v>120</v>
      </c>
    </row>
    <row r="320" spans="2:21" x14ac:dyDescent="0.3">
      <c r="B320" s="24" t="s">
        <v>62</v>
      </c>
      <c r="C320" s="24">
        <v>0</v>
      </c>
      <c r="D320" s="24">
        <v>0</v>
      </c>
      <c r="E320" s="24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  <c r="S320" s="24">
        <v>0</v>
      </c>
      <c r="T320" s="24">
        <v>0</v>
      </c>
      <c r="U320" s="24">
        <f t="shared" si="9"/>
        <v>0</v>
      </c>
    </row>
    <row r="321" spans="2:21" x14ac:dyDescent="0.3">
      <c r="B321" s="24" t="s">
        <v>314</v>
      </c>
      <c r="C321" s="24">
        <v>0</v>
      </c>
      <c r="D321" s="24">
        <v>0</v>
      </c>
      <c r="E321" s="24">
        <v>0</v>
      </c>
      <c r="F321" s="24">
        <v>0</v>
      </c>
      <c r="G321" s="24">
        <v>0</v>
      </c>
      <c r="H321" s="24">
        <v>0</v>
      </c>
      <c r="I321" s="24">
        <v>0</v>
      </c>
      <c r="J321" s="24">
        <v>0</v>
      </c>
      <c r="K321" s="24">
        <v>0</v>
      </c>
      <c r="L321" s="24">
        <v>0</v>
      </c>
      <c r="M321" s="24">
        <v>0</v>
      </c>
      <c r="N321" s="24">
        <v>0</v>
      </c>
      <c r="O321" s="24">
        <v>0</v>
      </c>
      <c r="P321" s="24">
        <v>0</v>
      </c>
      <c r="Q321" s="24">
        <v>0</v>
      </c>
      <c r="R321" s="24">
        <v>0</v>
      </c>
      <c r="S321" s="24">
        <v>0</v>
      </c>
      <c r="T321" s="24">
        <v>0</v>
      </c>
      <c r="U321" s="24">
        <f t="shared" si="9"/>
        <v>0</v>
      </c>
    </row>
    <row r="322" spans="2:21" x14ac:dyDescent="0.3">
      <c r="B322" s="24" t="s">
        <v>79</v>
      </c>
      <c r="C322" s="24">
        <v>0</v>
      </c>
      <c r="D322" s="24">
        <v>0</v>
      </c>
      <c r="E322" s="24">
        <v>0</v>
      </c>
      <c r="F322" s="24">
        <v>0</v>
      </c>
      <c r="G322" s="24">
        <v>0</v>
      </c>
      <c r="H322" s="24">
        <v>0</v>
      </c>
      <c r="I322" s="24">
        <v>0</v>
      </c>
      <c r="J322" s="24">
        <v>0</v>
      </c>
      <c r="K322" s="24">
        <v>0</v>
      </c>
      <c r="L322" s="24">
        <v>0</v>
      </c>
      <c r="M322" s="24">
        <v>0</v>
      </c>
      <c r="N322" s="24">
        <v>0</v>
      </c>
      <c r="O322" s="24">
        <v>0</v>
      </c>
      <c r="P322" s="24">
        <v>5440</v>
      </c>
      <c r="Q322" s="24">
        <v>0</v>
      </c>
      <c r="R322" s="24">
        <v>0</v>
      </c>
      <c r="S322" s="24">
        <v>0</v>
      </c>
      <c r="T322" s="24">
        <v>0</v>
      </c>
      <c r="U322" s="24">
        <f t="shared" si="9"/>
        <v>5440</v>
      </c>
    </row>
    <row r="323" spans="2:21" x14ac:dyDescent="0.3">
      <c r="B323" s="24" t="s">
        <v>215</v>
      </c>
      <c r="C323" s="24">
        <v>0</v>
      </c>
      <c r="D323" s="24">
        <v>0</v>
      </c>
      <c r="E323" s="24">
        <v>0</v>
      </c>
      <c r="F323" s="24">
        <v>0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0</v>
      </c>
      <c r="O323" s="24">
        <v>0</v>
      </c>
      <c r="P323" s="24">
        <v>0</v>
      </c>
      <c r="Q323" s="24">
        <v>0</v>
      </c>
      <c r="R323" s="24">
        <v>0</v>
      </c>
      <c r="S323" s="24">
        <v>0</v>
      </c>
      <c r="T323" s="24">
        <v>0</v>
      </c>
      <c r="U323" s="24">
        <f t="shared" si="9"/>
        <v>0</v>
      </c>
    </row>
    <row r="324" spans="2:21" x14ac:dyDescent="0.3">
      <c r="B324" s="24" t="s">
        <v>63</v>
      </c>
      <c r="C324" s="24">
        <v>0</v>
      </c>
      <c r="D324" s="24">
        <v>0</v>
      </c>
      <c r="E324" s="24">
        <v>0</v>
      </c>
      <c r="F324" s="24">
        <v>0</v>
      </c>
      <c r="G324" s="24">
        <v>0</v>
      </c>
      <c r="H324" s="24">
        <v>0</v>
      </c>
      <c r="I324" s="24">
        <v>0</v>
      </c>
      <c r="J324" s="24">
        <v>0</v>
      </c>
      <c r="K324" s="24">
        <v>0</v>
      </c>
      <c r="L324" s="24">
        <v>0</v>
      </c>
      <c r="M324" s="24">
        <v>0</v>
      </c>
      <c r="N324" s="24">
        <v>16</v>
      </c>
      <c r="O324" s="24">
        <v>0</v>
      </c>
      <c r="P324" s="24">
        <v>16157</v>
      </c>
      <c r="Q324" s="24">
        <v>0</v>
      </c>
      <c r="R324" s="24">
        <v>0</v>
      </c>
      <c r="S324" s="24">
        <v>0</v>
      </c>
      <c r="T324" s="24">
        <v>0</v>
      </c>
      <c r="U324" s="24">
        <f t="shared" si="9"/>
        <v>16173</v>
      </c>
    </row>
    <row r="325" spans="2:21" x14ac:dyDescent="0.3">
      <c r="B325" s="24" t="s">
        <v>216</v>
      </c>
      <c r="C325" s="24">
        <v>0</v>
      </c>
      <c r="D325" s="24">
        <v>0</v>
      </c>
      <c r="E325" s="24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4">
        <v>0</v>
      </c>
      <c r="Q325" s="24">
        <v>0</v>
      </c>
      <c r="R325" s="24">
        <v>0</v>
      </c>
      <c r="S325" s="24">
        <v>0</v>
      </c>
      <c r="T325" s="24">
        <v>0</v>
      </c>
      <c r="U325" s="24">
        <f t="shared" si="9"/>
        <v>0</v>
      </c>
    </row>
    <row r="326" spans="2:21" x14ac:dyDescent="0.3">
      <c r="B326" s="24" t="s">
        <v>64</v>
      </c>
      <c r="C326" s="24">
        <v>262</v>
      </c>
      <c r="D326" s="24">
        <v>0</v>
      </c>
      <c r="E326" s="24">
        <v>0</v>
      </c>
      <c r="F326" s="24">
        <v>0</v>
      </c>
      <c r="G326" s="24">
        <v>0</v>
      </c>
      <c r="H326" s="24">
        <v>0</v>
      </c>
      <c r="I326" s="24">
        <v>0</v>
      </c>
      <c r="J326" s="24">
        <v>0</v>
      </c>
      <c r="K326" s="24">
        <v>0</v>
      </c>
      <c r="L326" s="24">
        <v>0</v>
      </c>
      <c r="M326" s="24">
        <v>0</v>
      </c>
      <c r="N326" s="24">
        <v>0</v>
      </c>
      <c r="O326" s="24">
        <v>0</v>
      </c>
      <c r="P326" s="24">
        <v>3194</v>
      </c>
      <c r="Q326" s="24">
        <v>0</v>
      </c>
      <c r="R326" s="24">
        <v>0</v>
      </c>
      <c r="S326" s="24">
        <v>0</v>
      </c>
      <c r="T326" s="24">
        <v>0</v>
      </c>
      <c r="U326" s="24">
        <f t="shared" si="9"/>
        <v>3456</v>
      </c>
    </row>
    <row r="327" spans="2:21" x14ac:dyDescent="0.3">
      <c r="B327" s="24" t="s">
        <v>65</v>
      </c>
      <c r="C327" s="24">
        <v>0</v>
      </c>
      <c r="D327" s="24">
        <v>0</v>
      </c>
      <c r="E327" s="24">
        <v>0</v>
      </c>
      <c r="F327" s="24">
        <v>0</v>
      </c>
      <c r="G327" s="24">
        <v>0</v>
      </c>
      <c r="H327" s="24">
        <v>0</v>
      </c>
      <c r="I327" s="24">
        <v>0</v>
      </c>
      <c r="J327" s="24">
        <v>0</v>
      </c>
      <c r="K327" s="24">
        <v>0</v>
      </c>
      <c r="L327" s="24">
        <v>0</v>
      </c>
      <c r="M327" s="24">
        <v>0</v>
      </c>
      <c r="N327" s="24">
        <v>0</v>
      </c>
      <c r="O327" s="24">
        <v>0</v>
      </c>
      <c r="P327" s="24">
        <v>0</v>
      </c>
      <c r="Q327" s="24">
        <v>0</v>
      </c>
      <c r="R327" s="24">
        <v>0</v>
      </c>
      <c r="S327" s="24">
        <v>0</v>
      </c>
      <c r="T327" s="24">
        <v>0</v>
      </c>
      <c r="U327" s="24">
        <f t="shared" si="9"/>
        <v>0</v>
      </c>
    </row>
    <row r="328" spans="2:21" x14ac:dyDescent="0.3">
      <c r="B328" s="24" t="s">
        <v>217</v>
      </c>
      <c r="C328" s="24">
        <v>0</v>
      </c>
      <c r="D328" s="24">
        <v>0</v>
      </c>
      <c r="E328" s="24">
        <v>0</v>
      </c>
      <c r="F328" s="24">
        <v>0</v>
      </c>
      <c r="G328" s="24">
        <v>0</v>
      </c>
      <c r="H328" s="24">
        <v>0</v>
      </c>
      <c r="I328" s="24">
        <v>0</v>
      </c>
      <c r="J328" s="24">
        <v>0</v>
      </c>
      <c r="K328" s="24">
        <v>0</v>
      </c>
      <c r="L328" s="24">
        <v>0</v>
      </c>
      <c r="M328" s="24">
        <v>0</v>
      </c>
      <c r="N328" s="24">
        <v>0</v>
      </c>
      <c r="O328" s="24">
        <v>0</v>
      </c>
      <c r="P328" s="24">
        <v>4928</v>
      </c>
      <c r="Q328" s="24">
        <v>0</v>
      </c>
      <c r="R328" s="24">
        <v>0</v>
      </c>
      <c r="S328" s="24">
        <v>0</v>
      </c>
      <c r="T328" s="24">
        <v>112</v>
      </c>
      <c r="U328" s="24">
        <f t="shared" si="9"/>
        <v>5040</v>
      </c>
    </row>
    <row r="329" spans="2:21" ht="15" thickBot="1" x14ac:dyDescent="0.35">
      <c r="B329" s="30" t="s">
        <v>66</v>
      </c>
      <c r="C329" s="30">
        <v>0</v>
      </c>
      <c r="D329" s="30">
        <v>0</v>
      </c>
      <c r="E329" s="30">
        <v>0</v>
      </c>
      <c r="F329" s="30">
        <v>0</v>
      </c>
      <c r="G329" s="30">
        <v>0</v>
      </c>
      <c r="H329" s="30">
        <v>0</v>
      </c>
      <c r="I329" s="30">
        <v>0</v>
      </c>
      <c r="J329" s="30">
        <v>0</v>
      </c>
      <c r="K329" s="30">
        <v>0</v>
      </c>
      <c r="L329" s="30">
        <v>0</v>
      </c>
      <c r="M329" s="30">
        <v>0</v>
      </c>
      <c r="N329" s="30">
        <v>0</v>
      </c>
      <c r="O329" s="30">
        <v>0</v>
      </c>
      <c r="P329" s="30">
        <v>0</v>
      </c>
      <c r="Q329" s="30">
        <v>0</v>
      </c>
      <c r="R329" s="30">
        <v>0</v>
      </c>
      <c r="S329" s="30">
        <v>0</v>
      </c>
      <c r="T329" s="30">
        <v>0</v>
      </c>
      <c r="U329" s="30">
        <f t="shared" si="9"/>
        <v>0</v>
      </c>
    </row>
    <row r="330" spans="2:21" x14ac:dyDescent="0.3">
      <c r="B330" s="29" t="s">
        <v>269</v>
      </c>
      <c r="C330" s="29">
        <f t="shared" ref="C330:U330" si="10">SUM(C289:C329)</f>
        <v>3921</v>
      </c>
      <c r="D330" s="29">
        <f t="shared" si="10"/>
        <v>297</v>
      </c>
      <c r="E330" s="29">
        <f t="shared" si="10"/>
        <v>3743</v>
      </c>
      <c r="F330" s="29">
        <f t="shared" si="10"/>
        <v>28</v>
      </c>
      <c r="G330" s="29">
        <f t="shared" si="10"/>
        <v>10031</v>
      </c>
      <c r="H330" s="29">
        <f t="shared" si="10"/>
        <v>5195</v>
      </c>
      <c r="I330" s="29">
        <f t="shared" si="10"/>
        <v>2785</v>
      </c>
      <c r="J330" s="29">
        <f t="shared" si="10"/>
        <v>28700</v>
      </c>
      <c r="K330" s="29">
        <f t="shared" si="10"/>
        <v>21225</v>
      </c>
      <c r="L330" s="29">
        <f t="shared" si="10"/>
        <v>262</v>
      </c>
      <c r="M330" s="29">
        <f t="shared" si="10"/>
        <v>18915</v>
      </c>
      <c r="N330" s="29">
        <f t="shared" si="10"/>
        <v>19113</v>
      </c>
      <c r="O330" s="29">
        <f t="shared" si="10"/>
        <v>0</v>
      </c>
      <c r="P330" s="29">
        <f t="shared" si="10"/>
        <v>29850</v>
      </c>
      <c r="Q330" s="29">
        <f t="shared" si="10"/>
        <v>16</v>
      </c>
      <c r="R330" s="29">
        <f t="shared" si="10"/>
        <v>4370</v>
      </c>
      <c r="S330" s="29">
        <f t="shared" si="10"/>
        <v>2013</v>
      </c>
      <c r="T330" s="29">
        <f t="shared" si="10"/>
        <v>839</v>
      </c>
      <c r="U330" s="29">
        <f t="shared" si="10"/>
        <v>151303</v>
      </c>
    </row>
    <row r="331" spans="2:21" x14ac:dyDescent="0.3">
      <c r="B331" s="25" t="s">
        <v>226</v>
      </c>
      <c r="C331" s="26">
        <f>C330 / U330</f>
        <v>2.591488602340998E-2</v>
      </c>
      <c r="D331" s="26">
        <f>D330 / U330</f>
        <v>1.96294852051843E-3</v>
      </c>
      <c r="E331" s="26">
        <f>E330 / U330</f>
        <v>2.4738438761954487E-2</v>
      </c>
      <c r="F331" s="26">
        <f>F330 / U330</f>
        <v>1.8505911977951528E-4</v>
      </c>
      <c r="G331" s="26">
        <f>G330 / U330</f>
        <v>6.6297429661011348E-2</v>
      </c>
      <c r="H331" s="26">
        <f>H330 / U330</f>
        <v>3.4335075973377926E-2</v>
      </c>
      <c r="I331" s="26">
        <f>I330 / U330</f>
        <v>1.8406773163783929E-2</v>
      </c>
      <c r="J331" s="26">
        <f>J330 / U330</f>
        <v>0.18968559777400315</v>
      </c>
      <c r="K331" s="26">
        <f>K330 / U330</f>
        <v>0.14028142204715041</v>
      </c>
      <c r="L331" s="26">
        <f>L330 / U330</f>
        <v>1.7316246207940357E-3</v>
      </c>
      <c r="M331" s="26">
        <f>M330 / U330</f>
        <v>0.12501404466534041</v>
      </c>
      <c r="N331" s="26">
        <f>N330 / U330</f>
        <v>0.1263226770123527</v>
      </c>
      <c r="O331" s="26">
        <f>O330 / U330</f>
        <v>0</v>
      </c>
      <c r="P331" s="26">
        <f>P330 / U330</f>
        <v>0.19728624019351895</v>
      </c>
      <c r="Q331" s="26">
        <f>Q330 / U330</f>
        <v>1.057480684454373E-4</v>
      </c>
      <c r="R331" s="26">
        <f>R330 / U330</f>
        <v>2.8882441194160061E-2</v>
      </c>
      <c r="S331" s="26">
        <f>S330 / U330</f>
        <v>1.330442886129158E-2</v>
      </c>
      <c r="T331" s="26">
        <f>T330 / U330</f>
        <v>5.5451643391076187E-3</v>
      </c>
      <c r="U331" s="26">
        <f>U330 / U330</f>
        <v>1</v>
      </c>
    </row>
    <row r="333" spans="2:21" x14ac:dyDescent="0.3">
      <c r="B333" s="11" t="s">
        <v>261</v>
      </c>
      <c r="C333" s="12"/>
      <c r="D333" s="12"/>
      <c r="E333" s="12"/>
      <c r="F333" s="12"/>
    </row>
    <row r="334" spans="2:21" x14ac:dyDescent="0.3">
      <c r="B334" s="12"/>
      <c r="C334" s="12"/>
      <c r="D334" s="12"/>
      <c r="E334" s="12"/>
      <c r="F334" s="12"/>
    </row>
    <row r="335" spans="2:21" s="7" customFormat="1" ht="30" customHeight="1" x14ac:dyDescent="0.3">
      <c r="B335" s="20" t="s">
        <v>1</v>
      </c>
      <c r="C335" s="20" t="s">
        <v>134</v>
      </c>
      <c r="D335" s="20" t="s">
        <v>135</v>
      </c>
      <c r="E335" s="20" t="s">
        <v>136</v>
      </c>
      <c r="F335" s="21" t="s">
        <v>224</v>
      </c>
    </row>
    <row r="336" spans="2:21" x14ac:dyDescent="0.3">
      <c r="B336" s="9" t="s">
        <v>41</v>
      </c>
      <c r="C336" s="9">
        <v>571</v>
      </c>
      <c r="D336" s="9">
        <v>584</v>
      </c>
      <c r="E336" s="9">
        <v>0</v>
      </c>
      <c r="F336" s="9">
        <f t="shared" ref="F336:F376" si="11">SUM(C336:E336)</f>
        <v>1155</v>
      </c>
    </row>
    <row r="337" spans="2:6" x14ac:dyDescent="0.3">
      <c r="B337" s="9" t="s">
        <v>76</v>
      </c>
      <c r="C337" s="9">
        <v>4885</v>
      </c>
      <c r="D337" s="9">
        <v>1363</v>
      </c>
      <c r="E337" s="9">
        <v>713</v>
      </c>
      <c r="F337" s="9">
        <f t="shared" si="11"/>
        <v>6961</v>
      </c>
    </row>
    <row r="338" spans="2:6" x14ac:dyDescent="0.3">
      <c r="B338" s="9" t="s">
        <v>42</v>
      </c>
      <c r="C338" s="9">
        <v>0</v>
      </c>
      <c r="D338" s="9">
        <v>0</v>
      </c>
      <c r="E338" s="9">
        <v>0</v>
      </c>
      <c r="F338" s="9">
        <f t="shared" si="11"/>
        <v>0</v>
      </c>
    </row>
    <row r="339" spans="2:6" x14ac:dyDescent="0.3">
      <c r="B339" s="9" t="s">
        <v>43</v>
      </c>
      <c r="C339" s="9">
        <v>0</v>
      </c>
      <c r="D339" s="9">
        <v>0</v>
      </c>
      <c r="E339" s="9">
        <v>0</v>
      </c>
      <c r="F339" s="9">
        <f t="shared" si="11"/>
        <v>0</v>
      </c>
    </row>
    <row r="340" spans="2:6" x14ac:dyDescent="0.3">
      <c r="B340" s="9" t="s">
        <v>44</v>
      </c>
      <c r="C340" s="9">
        <v>0</v>
      </c>
      <c r="D340" s="9">
        <v>0</v>
      </c>
      <c r="E340" s="9">
        <v>0</v>
      </c>
      <c r="F340" s="9">
        <f t="shared" si="11"/>
        <v>0</v>
      </c>
    </row>
    <row r="341" spans="2:6" x14ac:dyDescent="0.3">
      <c r="B341" s="9" t="s">
        <v>45</v>
      </c>
      <c r="C341" s="9">
        <v>0</v>
      </c>
      <c r="D341" s="9">
        <v>0</v>
      </c>
      <c r="E341" s="9">
        <v>0</v>
      </c>
      <c r="F341" s="9">
        <f t="shared" si="11"/>
        <v>0</v>
      </c>
    </row>
    <row r="342" spans="2:6" x14ac:dyDescent="0.3">
      <c r="B342" s="9" t="s">
        <v>207</v>
      </c>
      <c r="C342" s="9">
        <v>0</v>
      </c>
      <c r="D342" s="9">
        <v>0</v>
      </c>
      <c r="E342" s="9">
        <v>0</v>
      </c>
      <c r="F342" s="9">
        <f t="shared" si="11"/>
        <v>0</v>
      </c>
    </row>
    <row r="343" spans="2:6" x14ac:dyDescent="0.3">
      <c r="B343" s="9" t="s">
        <v>46</v>
      </c>
      <c r="C343" s="9">
        <v>101</v>
      </c>
      <c r="D343" s="9">
        <v>176</v>
      </c>
      <c r="E343" s="9">
        <v>0</v>
      </c>
      <c r="F343" s="9">
        <f t="shared" si="11"/>
        <v>277</v>
      </c>
    </row>
    <row r="344" spans="2:6" x14ac:dyDescent="0.3">
      <c r="B344" s="9" t="s">
        <v>47</v>
      </c>
      <c r="C344" s="9">
        <v>0</v>
      </c>
      <c r="D344" s="9">
        <v>0</v>
      </c>
      <c r="E344" s="9">
        <v>0</v>
      </c>
      <c r="F344" s="9">
        <f t="shared" si="11"/>
        <v>0</v>
      </c>
    </row>
    <row r="345" spans="2:6" x14ac:dyDescent="0.3">
      <c r="B345" s="9" t="s">
        <v>48</v>
      </c>
      <c r="C345" s="9">
        <v>217</v>
      </c>
      <c r="D345" s="9">
        <v>40</v>
      </c>
      <c r="E345" s="9">
        <v>0</v>
      </c>
      <c r="F345" s="9">
        <f t="shared" si="11"/>
        <v>257</v>
      </c>
    </row>
    <row r="346" spans="2:6" x14ac:dyDescent="0.3">
      <c r="B346" s="9" t="s">
        <v>49</v>
      </c>
      <c r="C346" s="9">
        <v>0</v>
      </c>
      <c r="D346" s="9">
        <v>0</v>
      </c>
      <c r="E346" s="9">
        <v>0</v>
      </c>
      <c r="F346" s="9">
        <f t="shared" si="11"/>
        <v>0</v>
      </c>
    </row>
    <row r="347" spans="2:6" x14ac:dyDescent="0.3">
      <c r="B347" s="9" t="s">
        <v>208</v>
      </c>
      <c r="C347" s="9">
        <v>0</v>
      </c>
      <c r="D347" s="9">
        <v>0</v>
      </c>
      <c r="E347" s="9">
        <v>0</v>
      </c>
      <c r="F347" s="9">
        <f t="shared" si="11"/>
        <v>0</v>
      </c>
    </row>
    <row r="348" spans="2:6" x14ac:dyDescent="0.3">
      <c r="B348" s="9" t="s">
        <v>50</v>
      </c>
      <c r="C348" s="9">
        <v>0</v>
      </c>
      <c r="D348" s="9">
        <v>0</v>
      </c>
      <c r="E348" s="9">
        <v>0</v>
      </c>
      <c r="F348" s="9">
        <f t="shared" si="11"/>
        <v>0</v>
      </c>
    </row>
    <row r="349" spans="2:6" x14ac:dyDescent="0.3">
      <c r="B349" s="9" t="s">
        <v>51</v>
      </c>
      <c r="C349" s="9">
        <v>30</v>
      </c>
      <c r="D349" s="9">
        <v>0</v>
      </c>
      <c r="E349" s="9">
        <v>0</v>
      </c>
      <c r="F349" s="9">
        <f t="shared" si="11"/>
        <v>30</v>
      </c>
    </row>
    <row r="350" spans="2:6" x14ac:dyDescent="0.3">
      <c r="B350" s="9" t="s">
        <v>52</v>
      </c>
      <c r="C350" s="9">
        <v>0</v>
      </c>
      <c r="D350" s="9">
        <v>0</v>
      </c>
      <c r="E350" s="9">
        <v>0</v>
      </c>
      <c r="F350" s="9">
        <f t="shared" si="11"/>
        <v>0</v>
      </c>
    </row>
    <row r="351" spans="2:6" x14ac:dyDescent="0.3">
      <c r="B351" s="9" t="s">
        <v>53</v>
      </c>
      <c r="C351" s="9">
        <v>0</v>
      </c>
      <c r="D351" s="9">
        <v>0</v>
      </c>
      <c r="E351" s="9">
        <v>0</v>
      </c>
      <c r="F351" s="9">
        <f t="shared" si="11"/>
        <v>0</v>
      </c>
    </row>
    <row r="352" spans="2:6" x14ac:dyDescent="0.3">
      <c r="B352" s="9" t="s">
        <v>54</v>
      </c>
      <c r="C352" s="9">
        <v>0</v>
      </c>
      <c r="D352" s="9">
        <v>0</v>
      </c>
      <c r="E352" s="9">
        <v>0</v>
      </c>
      <c r="F352" s="9">
        <f t="shared" si="11"/>
        <v>0</v>
      </c>
    </row>
    <row r="353" spans="2:6" x14ac:dyDescent="0.3">
      <c r="B353" s="9" t="s">
        <v>55</v>
      </c>
      <c r="C353" s="9">
        <v>0</v>
      </c>
      <c r="D353" s="9">
        <v>0</v>
      </c>
      <c r="E353" s="9">
        <v>0</v>
      </c>
      <c r="F353" s="9">
        <f t="shared" si="11"/>
        <v>0</v>
      </c>
    </row>
    <row r="354" spans="2:6" x14ac:dyDescent="0.3">
      <c r="B354" s="9" t="s">
        <v>209</v>
      </c>
      <c r="C354" s="9">
        <v>5</v>
      </c>
      <c r="D354" s="9">
        <v>32</v>
      </c>
      <c r="E354" s="9">
        <v>0</v>
      </c>
      <c r="F354" s="9">
        <f t="shared" si="11"/>
        <v>37</v>
      </c>
    </row>
    <row r="355" spans="2:6" x14ac:dyDescent="0.3">
      <c r="B355" s="9" t="s">
        <v>56</v>
      </c>
      <c r="C355" s="9">
        <v>36</v>
      </c>
      <c r="D355" s="9">
        <v>641</v>
      </c>
      <c r="E355" s="9">
        <v>637</v>
      </c>
      <c r="F355" s="9">
        <f t="shared" si="11"/>
        <v>1314</v>
      </c>
    </row>
    <row r="356" spans="2:6" x14ac:dyDescent="0.3">
      <c r="B356" s="9" t="s">
        <v>57</v>
      </c>
      <c r="C356" s="9">
        <v>0</v>
      </c>
      <c r="D356" s="9">
        <v>0</v>
      </c>
      <c r="E356" s="9">
        <v>0</v>
      </c>
      <c r="F356" s="9">
        <f t="shared" si="11"/>
        <v>0</v>
      </c>
    </row>
    <row r="357" spans="2:6" x14ac:dyDescent="0.3">
      <c r="B357" s="9" t="s">
        <v>210</v>
      </c>
      <c r="C357" s="9">
        <v>0</v>
      </c>
      <c r="D357" s="9">
        <v>0</v>
      </c>
      <c r="E357" s="9">
        <v>0</v>
      </c>
      <c r="F357" s="9">
        <f t="shared" si="11"/>
        <v>0</v>
      </c>
    </row>
    <row r="358" spans="2:6" x14ac:dyDescent="0.3">
      <c r="B358" s="9" t="s">
        <v>58</v>
      </c>
      <c r="C358" s="9">
        <v>0</v>
      </c>
      <c r="D358" s="9">
        <v>0</v>
      </c>
      <c r="E358" s="9">
        <v>0</v>
      </c>
      <c r="F358" s="9">
        <f t="shared" si="11"/>
        <v>0</v>
      </c>
    </row>
    <row r="359" spans="2:6" x14ac:dyDescent="0.3">
      <c r="B359" s="9" t="s">
        <v>211</v>
      </c>
      <c r="C359" s="9">
        <v>0</v>
      </c>
      <c r="D359" s="9">
        <v>0</v>
      </c>
      <c r="E359" s="9">
        <v>0</v>
      </c>
      <c r="F359" s="9">
        <f t="shared" si="11"/>
        <v>0</v>
      </c>
    </row>
    <row r="360" spans="2:6" x14ac:dyDescent="0.3">
      <c r="B360" s="9" t="s">
        <v>212</v>
      </c>
      <c r="C360" s="9">
        <v>0</v>
      </c>
      <c r="D360" s="9">
        <v>0</v>
      </c>
      <c r="E360" s="9">
        <v>0</v>
      </c>
      <c r="F360" s="9">
        <f t="shared" si="11"/>
        <v>0</v>
      </c>
    </row>
    <row r="361" spans="2:6" x14ac:dyDescent="0.3">
      <c r="B361" s="9" t="s">
        <v>213</v>
      </c>
      <c r="C361" s="9">
        <v>0</v>
      </c>
      <c r="D361" s="9">
        <v>0</v>
      </c>
      <c r="E361" s="9">
        <v>0</v>
      </c>
      <c r="F361" s="9">
        <f t="shared" si="11"/>
        <v>0</v>
      </c>
    </row>
    <row r="362" spans="2:6" x14ac:dyDescent="0.3">
      <c r="B362" s="9" t="s">
        <v>59</v>
      </c>
      <c r="C362" s="9">
        <v>0</v>
      </c>
      <c r="D362" s="9">
        <v>0</v>
      </c>
      <c r="E362" s="9">
        <v>0</v>
      </c>
      <c r="F362" s="9">
        <f t="shared" si="11"/>
        <v>0</v>
      </c>
    </row>
    <row r="363" spans="2:6" x14ac:dyDescent="0.3">
      <c r="B363" s="9" t="s">
        <v>214</v>
      </c>
      <c r="C363" s="9">
        <v>0</v>
      </c>
      <c r="D363" s="9">
        <v>0</v>
      </c>
      <c r="E363" s="9">
        <v>0</v>
      </c>
      <c r="F363" s="9">
        <f t="shared" si="11"/>
        <v>0</v>
      </c>
    </row>
    <row r="364" spans="2:6" x14ac:dyDescent="0.3">
      <c r="B364" s="9" t="s">
        <v>60</v>
      </c>
      <c r="C364" s="9">
        <v>0</v>
      </c>
      <c r="D364" s="9">
        <v>0</v>
      </c>
      <c r="E364" s="9">
        <v>0</v>
      </c>
      <c r="F364" s="9">
        <f t="shared" si="11"/>
        <v>0</v>
      </c>
    </row>
    <row r="365" spans="2:6" x14ac:dyDescent="0.3">
      <c r="B365" s="9" t="s">
        <v>61</v>
      </c>
      <c r="C365" s="9">
        <v>0</v>
      </c>
      <c r="D365" s="9">
        <v>0</v>
      </c>
      <c r="E365" s="9">
        <v>0</v>
      </c>
      <c r="F365" s="9">
        <f t="shared" si="11"/>
        <v>0</v>
      </c>
    </row>
    <row r="366" spans="2:6" x14ac:dyDescent="0.3">
      <c r="B366" s="9" t="s">
        <v>78</v>
      </c>
      <c r="C366" s="9">
        <v>0</v>
      </c>
      <c r="D366" s="9">
        <v>0</v>
      </c>
      <c r="E366" s="9">
        <v>0</v>
      </c>
      <c r="F366" s="9">
        <f t="shared" si="11"/>
        <v>0</v>
      </c>
    </row>
    <row r="367" spans="2:6" x14ac:dyDescent="0.3">
      <c r="B367" s="9" t="s">
        <v>62</v>
      </c>
      <c r="C367" s="9">
        <v>0</v>
      </c>
      <c r="D367" s="9">
        <v>0</v>
      </c>
      <c r="E367" s="9">
        <v>0</v>
      </c>
      <c r="F367" s="9">
        <f t="shared" si="11"/>
        <v>0</v>
      </c>
    </row>
    <row r="368" spans="2:6" x14ac:dyDescent="0.3">
      <c r="B368" s="9" t="s">
        <v>314</v>
      </c>
      <c r="C368" s="9">
        <v>0</v>
      </c>
      <c r="D368" s="9">
        <v>0</v>
      </c>
      <c r="E368" s="9">
        <v>0</v>
      </c>
      <c r="F368" s="9">
        <f t="shared" si="11"/>
        <v>0</v>
      </c>
    </row>
    <row r="369" spans="2:6" x14ac:dyDescent="0.3">
      <c r="B369" s="9" t="s">
        <v>79</v>
      </c>
      <c r="C369" s="9">
        <v>0</v>
      </c>
      <c r="D369" s="9">
        <v>0</v>
      </c>
      <c r="E369" s="9">
        <v>0</v>
      </c>
      <c r="F369" s="9">
        <f t="shared" si="11"/>
        <v>0</v>
      </c>
    </row>
    <row r="370" spans="2:6" x14ac:dyDescent="0.3">
      <c r="B370" s="9" t="s">
        <v>215</v>
      </c>
      <c r="C370" s="9">
        <v>0</v>
      </c>
      <c r="D370" s="9">
        <v>0</v>
      </c>
      <c r="E370" s="9">
        <v>0</v>
      </c>
      <c r="F370" s="9">
        <f t="shared" si="11"/>
        <v>0</v>
      </c>
    </row>
    <row r="371" spans="2:6" x14ac:dyDescent="0.3">
      <c r="B371" s="9" t="s">
        <v>63</v>
      </c>
      <c r="C371" s="9">
        <v>0</v>
      </c>
      <c r="D371" s="9">
        <v>0</v>
      </c>
      <c r="E371" s="9">
        <v>0</v>
      </c>
      <c r="F371" s="9">
        <f t="shared" si="11"/>
        <v>0</v>
      </c>
    </row>
    <row r="372" spans="2:6" x14ac:dyDescent="0.3">
      <c r="B372" s="9" t="s">
        <v>216</v>
      </c>
      <c r="C372" s="9">
        <v>0</v>
      </c>
      <c r="D372" s="9">
        <v>0</v>
      </c>
      <c r="E372" s="9">
        <v>0</v>
      </c>
      <c r="F372" s="9">
        <f t="shared" si="11"/>
        <v>0</v>
      </c>
    </row>
    <row r="373" spans="2:6" x14ac:dyDescent="0.3">
      <c r="B373" s="9" t="s">
        <v>64</v>
      </c>
      <c r="C373" s="9">
        <v>0</v>
      </c>
      <c r="D373" s="9">
        <v>0</v>
      </c>
      <c r="E373" s="9">
        <v>0</v>
      </c>
      <c r="F373" s="9">
        <f t="shared" si="11"/>
        <v>0</v>
      </c>
    </row>
    <row r="374" spans="2:6" x14ac:dyDescent="0.3">
      <c r="B374" s="9" t="s">
        <v>65</v>
      </c>
      <c r="C374" s="9">
        <v>0</v>
      </c>
      <c r="D374" s="9">
        <v>0</v>
      </c>
      <c r="E374" s="9">
        <v>0</v>
      </c>
      <c r="F374" s="9">
        <f t="shared" si="11"/>
        <v>0</v>
      </c>
    </row>
    <row r="375" spans="2:6" x14ac:dyDescent="0.3">
      <c r="B375" s="9" t="s">
        <v>217</v>
      </c>
      <c r="C375" s="9">
        <v>0</v>
      </c>
      <c r="D375" s="9">
        <v>0</v>
      </c>
      <c r="E375" s="9">
        <v>0</v>
      </c>
      <c r="F375" s="9">
        <f t="shared" si="11"/>
        <v>0</v>
      </c>
    </row>
    <row r="376" spans="2:6" ht="15" thickBot="1" x14ac:dyDescent="0.35">
      <c r="B376" s="28" t="s">
        <v>66</v>
      </c>
      <c r="C376" s="28">
        <v>0</v>
      </c>
      <c r="D376" s="28">
        <v>0</v>
      </c>
      <c r="E376" s="28">
        <v>0</v>
      </c>
      <c r="F376" s="28">
        <f t="shared" si="11"/>
        <v>0</v>
      </c>
    </row>
    <row r="377" spans="2:6" x14ac:dyDescent="0.3">
      <c r="B377" s="27" t="s">
        <v>269</v>
      </c>
      <c r="C377" s="27">
        <f>SUM(C336:C376)</f>
        <v>5845</v>
      </c>
      <c r="D377" s="27">
        <f>SUM(D336:D376)</f>
        <v>2836</v>
      </c>
      <c r="E377" s="27">
        <f>SUM(E336:E376)</f>
        <v>1350</v>
      </c>
      <c r="F377" s="27">
        <f>SUM(F336:F376)</f>
        <v>10031</v>
      </c>
    </row>
    <row r="378" spans="2:6" x14ac:dyDescent="0.3">
      <c r="B378" s="8" t="s">
        <v>226</v>
      </c>
      <c r="C378" s="23">
        <f>C377 / F377</f>
        <v>0.58269364968597348</v>
      </c>
      <c r="D378" s="23">
        <f>D377 / F377</f>
        <v>0.28272355697338253</v>
      </c>
      <c r="E378" s="23">
        <f>E377 / F377</f>
        <v>0.13458279334064399</v>
      </c>
      <c r="F378" s="23">
        <f>F377 / F377</f>
        <v>1</v>
      </c>
    </row>
    <row r="380" spans="2:6" x14ac:dyDescent="0.3">
      <c r="B380" s="11" t="s">
        <v>262</v>
      </c>
      <c r="C380" s="12"/>
      <c r="D380" s="12"/>
      <c r="E380" s="12"/>
      <c r="F380" s="12"/>
    </row>
    <row r="381" spans="2:6" x14ac:dyDescent="0.3">
      <c r="B381" s="12"/>
      <c r="C381" s="12"/>
      <c r="D381" s="12"/>
      <c r="E381" s="12"/>
      <c r="F381" s="12"/>
    </row>
    <row r="382" spans="2:6" s="7" customFormat="1" ht="60" customHeight="1" x14ac:dyDescent="0.3">
      <c r="B382" s="20" t="s">
        <v>1</v>
      </c>
      <c r="C382" s="20" t="s">
        <v>72</v>
      </c>
      <c r="D382" s="20" t="s">
        <v>186</v>
      </c>
      <c r="E382" s="20" t="s">
        <v>187</v>
      </c>
      <c r="F382" s="21" t="s">
        <v>224</v>
      </c>
    </row>
    <row r="383" spans="2:6" x14ac:dyDescent="0.3">
      <c r="B383" s="9" t="s">
        <v>41</v>
      </c>
      <c r="C383" s="9">
        <v>24</v>
      </c>
      <c r="D383" s="9">
        <v>248</v>
      </c>
      <c r="E383" s="9">
        <v>1748</v>
      </c>
      <c r="F383" s="9">
        <f t="shared" ref="F383:F423" si="12">SUM(C383:E383)</f>
        <v>2020</v>
      </c>
    </row>
    <row r="384" spans="2:6" x14ac:dyDescent="0.3">
      <c r="B384" s="9" t="s">
        <v>76</v>
      </c>
      <c r="C384" s="9">
        <v>658</v>
      </c>
      <c r="D384" s="9">
        <v>0</v>
      </c>
      <c r="E384" s="9">
        <v>906</v>
      </c>
      <c r="F384" s="9">
        <f t="shared" si="12"/>
        <v>1564</v>
      </c>
    </row>
    <row r="385" spans="2:6" x14ac:dyDescent="0.3">
      <c r="B385" s="9" t="s">
        <v>42</v>
      </c>
      <c r="C385" s="9">
        <v>0</v>
      </c>
      <c r="D385" s="9">
        <v>0</v>
      </c>
      <c r="E385" s="9">
        <v>10</v>
      </c>
      <c r="F385" s="9">
        <f t="shared" si="12"/>
        <v>10</v>
      </c>
    </row>
    <row r="386" spans="2:6" x14ac:dyDescent="0.3">
      <c r="B386" s="9" t="s">
        <v>43</v>
      </c>
      <c r="C386" s="9">
        <v>0</v>
      </c>
      <c r="D386" s="9">
        <v>0</v>
      </c>
      <c r="E386" s="9">
        <v>0</v>
      </c>
      <c r="F386" s="9">
        <f t="shared" si="12"/>
        <v>0</v>
      </c>
    </row>
    <row r="387" spans="2:6" x14ac:dyDescent="0.3">
      <c r="B387" s="9" t="s">
        <v>44</v>
      </c>
      <c r="C387" s="9">
        <v>0</v>
      </c>
      <c r="D387" s="9">
        <v>0</v>
      </c>
      <c r="E387" s="9">
        <v>0</v>
      </c>
      <c r="F387" s="9">
        <f t="shared" si="12"/>
        <v>0</v>
      </c>
    </row>
    <row r="388" spans="2:6" x14ac:dyDescent="0.3">
      <c r="B388" s="9" t="s">
        <v>45</v>
      </c>
      <c r="C388" s="9">
        <v>0</v>
      </c>
      <c r="D388" s="9">
        <v>0</v>
      </c>
      <c r="E388" s="9">
        <v>0</v>
      </c>
      <c r="F388" s="9">
        <f t="shared" si="12"/>
        <v>0</v>
      </c>
    </row>
    <row r="389" spans="2:6" x14ac:dyDescent="0.3">
      <c r="B389" s="9" t="s">
        <v>207</v>
      </c>
      <c r="C389" s="9">
        <v>0</v>
      </c>
      <c r="D389" s="9">
        <v>0</v>
      </c>
      <c r="E389" s="9">
        <v>0</v>
      </c>
      <c r="F389" s="9">
        <f t="shared" si="12"/>
        <v>0</v>
      </c>
    </row>
    <row r="390" spans="2:6" x14ac:dyDescent="0.3">
      <c r="B390" s="9" t="s">
        <v>46</v>
      </c>
      <c r="C390" s="9">
        <v>0</v>
      </c>
      <c r="D390" s="9">
        <v>0</v>
      </c>
      <c r="E390" s="9">
        <v>19</v>
      </c>
      <c r="F390" s="9">
        <f t="shared" si="12"/>
        <v>19</v>
      </c>
    </row>
    <row r="391" spans="2:6" x14ac:dyDescent="0.3">
      <c r="B391" s="9" t="s">
        <v>47</v>
      </c>
      <c r="C391" s="9">
        <v>0</v>
      </c>
      <c r="D391" s="9">
        <v>0</v>
      </c>
      <c r="E391" s="9">
        <v>0</v>
      </c>
      <c r="F391" s="9">
        <f t="shared" si="12"/>
        <v>0</v>
      </c>
    </row>
    <row r="392" spans="2:6" x14ac:dyDescent="0.3">
      <c r="B392" s="9" t="s">
        <v>48</v>
      </c>
      <c r="C392" s="9">
        <v>0</v>
      </c>
      <c r="D392" s="9">
        <v>0</v>
      </c>
      <c r="E392" s="9">
        <v>46</v>
      </c>
      <c r="F392" s="9">
        <f t="shared" si="12"/>
        <v>46</v>
      </c>
    </row>
    <row r="393" spans="2:6" x14ac:dyDescent="0.3">
      <c r="B393" s="9" t="s">
        <v>49</v>
      </c>
      <c r="C393" s="9">
        <v>0</v>
      </c>
      <c r="D393" s="9">
        <v>0</v>
      </c>
      <c r="E393" s="9">
        <v>0</v>
      </c>
      <c r="F393" s="9">
        <f t="shared" si="12"/>
        <v>0</v>
      </c>
    </row>
    <row r="394" spans="2:6" x14ac:dyDescent="0.3">
      <c r="B394" s="9" t="s">
        <v>208</v>
      </c>
      <c r="C394" s="9">
        <v>0</v>
      </c>
      <c r="D394" s="9">
        <v>0</v>
      </c>
      <c r="E394" s="9">
        <v>0</v>
      </c>
      <c r="F394" s="9">
        <f t="shared" si="12"/>
        <v>0</v>
      </c>
    </row>
    <row r="395" spans="2:6" x14ac:dyDescent="0.3">
      <c r="B395" s="9" t="s">
        <v>50</v>
      </c>
      <c r="C395" s="9">
        <v>0</v>
      </c>
      <c r="D395" s="9">
        <v>0</v>
      </c>
      <c r="E395" s="9">
        <v>0</v>
      </c>
      <c r="F395" s="9">
        <f t="shared" si="12"/>
        <v>0</v>
      </c>
    </row>
    <row r="396" spans="2:6" x14ac:dyDescent="0.3">
      <c r="B396" s="9" t="s">
        <v>51</v>
      </c>
      <c r="C396" s="9">
        <v>0</v>
      </c>
      <c r="D396" s="9">
        <v>0</v>
      </c>
      <c r="E396" s="9">
        <v>0</v>
      </c>
      <c r="F396" s="9">
        <f t="shared" si="12"/>
        <v>0</v>
      </c>
    </row>
    <row r="397" spans="2:6" x14ac:dyDescent="0.3">
      <c r="B397" s="9" t="s">
        <v>52</v>
      </c>
      <c r="C397" s="9">
        <v>0</v>
      </c>
      <c r="D397" s="9">
        <v>0</v>
      </c>
      <c r="E397" s="9">
        <v>0</v>
      </c>
      <c r="F397" s="9">
        <f t="shared" si="12"/>
        <v>0</v>
      </c>
    </row>
    <row r="398" spans="2:6" x14ac:dyDescent="0.3">
      <c r="B398" s="9" t="s">
        <v>53</v>
      </c>
      <c r="C398" s="9">
        <v>0</v>
      </c>
      <c r="D398" s="9">
        <v>0</v>
      </c>
      <c r="E398" s="9">
        <v>0</v>
      </c>
      <c r="F398" s="9">
        <f t="shared" si="12"/>
        <v>0</v>
      </c>
    </row>
    <row r="399" spans="2:6" x14ac:dyDescent="0.3">
      <c r="B399" s="9" t="s">
        <v>54</v>
      </c>
      <c r="C399" s="9">
        <v>0</v>
      </c>
      <c r="D399" s="9">
        <v>0</v>
      </c>
      <c r="E399" s="9">
        <v>0</v>
      </c>
      <c r="F399" s="9">
        <f t="shared" si="12"/>
        <v>0</v>
      </c>
    </row>
    <row r="400" spans="2:6" x14ac:dyDescent="0.3">
      <c r="B400" s="9" t="s">
        <v>55</v>
      </c>
      <c r="C400" s="9">
        <v>0</v>
      </c>
      <c r="D400" s="9">
        <v>0</v>
      </c>
      <c r="E400" s="9">
        <v>0</v>
      </c>
      <c r="F400" s="9">
        <f t="shared" si="12"/>
        <v>0</v>
      </c>
    </row>
    <row r="401" spans="2:6" x14ac:dyDescent="0.3">
      <c r="B401" s="9" t="s">
        <v>209</v>
      </c>
      <c r="C401" s="9">
        <v>0</v>
      </c>
      <c r="D401" s="9">
        <v>0</v>
      </c>
      <c r="E401" s="9">
        <v>0</v>
      </c>
      <c r="F401" s="9">
        <f t="shared" si="12"/>
        <v>0</v>
      </c>
    </row>
    <row r="402" spans="2:6" x14ac:dyDescent="0.3">
      <c r="B402" s="9" t="s">
        <v>56</v>
      </c>
      <c r="C402" s="9">
        <v>0</v>
      </c>
      <c r="D402" s="9">
        <v>0</v>
      </c>
      <c r="E402" s="9">
        <v>0</v>
      </c>
      <c r="F402" s="9">
        <f t="shared" si="12"/>
        <v>0</v>
      </c>
    </row>
    <row r="403" spans="2:6" x14ac:dyDescent="0.3">
      <c r="B403" s="9" t="s">
        <v>57</v>
      </c>
      <c r="C403" s="9">
        <v>0</v>
      </c>
      <c r="D403" s="9">
        <v>0</v>
      </c>
      <c r="E403" s="9">
        <v>0</v>
      </c>
      <c r="F403" s="9">
        <f t="shared" si="12"/>
        <v>0</v>
      </c>
    </row>
    <row r="404" spans="2:6" x14ac:dyDescent="0.3">
      <c r="B404" s="9" t="s">
        <v>210</v>
      </c>
      <c r="C404" s="9">
        <v>0</v>
      </c>
      <c r="D404" s="9">
        <v>0</v>
      </c>
      <c r="E404" s="9">
        <v>0</v>
      </c>
      <c r="F404" s="9">
        <f t="shared" si="12"/>
        <v>0</v>
      </c>
    </row>
    <row r="405" spans="2:6" x14ac:dyDescent="0.3">
      <c r="B405" s="9" t="s">
        <v>58</v>
      </c>
      <c r="C405" s="9">
        <v>0</v>
      </c>
      <c r="D405" s="9">
        <v>0</v>
      </c>
      <c r="E405" s="9">
        <v>0</v>
      </c>
      <c r="F405" s="9">
        <f t="shared" si="12"/>
        <v>0</v>
      </c>
    </row>
    <row r="406" spans="2:6" x14ac:dyDescent="0.3">
      <c r="B406" s="9" t="s">
        <v>211</v>
      </c>
      <c r="C406" s="9">
        <v>0</v>
      </c>
      <c r="D406" s="9">
        <v>0</v>
      </c>
      <c r="E406" s="9">
        <v>0</v>
      </c>
      <c r="F406" s="9">
        <f t="shared" si="12"/>
        <v>0</v>
      </c>
    </row>
    <row r="407" spans="2:6" x14ac:dyDescent="0.3">
      <c r="B407" s="9" t="s">
        <v>212</v>
      </c>
      <c r="C407" s="9">
        <v>0</v>
      </c>
      <c r="D407" s="9">
        <v>0</v>
      </c>
      <c r="E407" s="9">
        <v>0</v>
      </c>
      <c r="F407" s="9">
        <f t="shared" si="12"/>
        <v>0</v>
      </c>
    </row>
    <row r="408" spans="2:6" x14ac:dyDescent="0.3">
      <c r="B408" s="9" t="s">
        <v>213</v>
      </c>
      <c r="C408" s="9">
        <v>0</v>
      </c>
      <c r="D408" s="9">
        <v>0</v>
      </c>
      <c r="E408" s="9">
        <v>0</v>
      </c>
      <c r="F408" s="9">
        <f t="shared" si="12"/>
        <v>0</v>
      </c>
    </row>
    <row r="409" spans="2:6" x14ac:dyDescent="0.3">
      <c r="B409" s="9" t="s">
        <v>59</v>
      </c>
      <c r="C409" s="9">
        <v>0</v>
      </c>
      <c r="D409" s="9">
        <v>0</v>
      </c>
      <c r="E409" s="9">
        <v>0</v>
      </c>
      <c r="F409" s="9">
        <f t="shared" si="12"/>
        <v>0</v>
      </c>
    </row>
    <row r="410" spans="2:6" x14ac:dyDescent="0.3">
      <c r="B410" s="9" t="s">
        <v>214</v>
      </c>
      <c r="C410" s="9">
        <v>0</v>
      </c>
      <c r="D410" s="9">
        <v>0</v>
      </c>
      <c r="E410" s="9">
        <v>0</v>
      </c>
      <c r="F410" s="9">
        <f t="shared" si="12"/>
        <v>0</v>
      </c>
    </row>
    <row r="411" spans="2:6" x14ac:dyDescent="0.3">
      <c r="B411" s="9" t="s">
        <v>60</v>
      </c>
      <c r="C411" s="9">
        <v>0</v>
      </c>
      <c r="D411" s="9">
        <v>0</v>
      </c>
      <c r="E411" s="9">
        <v>0</v>
      </c>
      <c r="F411" s="9">
        <f t="shared" si="12"/>
        <v>0</v>
      </c>
    </row>
    <row r="412" spans="2:6" x14ac:dyDescent="0.3">
      <c r="B412" s="9" t="s">
        <v>61</v>
      </c>
      <c r="C412" s="9">
        <v>0</v>
      </c>
      <c r="D412" s="9">
        <v>0</v>
      </c>
      <c r="E412" s="9">
        <v>0</v>
      </c>
      <c r="F412" s="9">
        <f t="shared" si="12"/>
        <v>0</v>
      </c>
    </row>
    <row r="413" spans="2:6" x14ac:dyDescent="0.3">
      <c r="B413" s="9" t="s">
        <v>78</v>
      </c>
      <c r="C413" s="9">
        <v>0</v>
      </c>
      <c r="D413" s="9">
        <v>0</v>
      </c>
      <c r="E413" s="9">
        <v>0</v>
      </c>
      <c r="F413" s="9">
        <f t="shared" si="12"/>
        <v>0</v>
      </c>
    </row>
    <row r="414" spans="2:6" x14ac:dyDescent="0.3">
      <c r="B414" s="9" t="s">
        <v>62</v>
      </c>
      <c r="C414" s="9">
        <v>0</v>
      </c>
      <c r="D414" s="9">
        <v>0</v>
      </c>
      <c r="E414" s="9">
        <v>0</v>
      </c>
      <c r="F414" s="9">
        <f t="shared" si="12"/>
        <v>0</v>
      </c>
    </row>
    <row r="415" spans="2:6" x14ac:dyDescent="0.3">
      <c r="B415" s="9" t="s">
        <v>314</v>
      </c>
      <c r="C415" s="9">
        <v>0</v>
      </c>
      <c r="D415" s="9">
        <v>0</v>
      </c>
      <c r="E415" s="9">
        <v>0</v>
      </c>
      <c r="F415" s="9">
        <f t="shared" si="12"/>
        <v>0</v>
      </c>
    </row>
    <row r="416" spans="2:6" x14ac:dyDescent="0.3">
      <c r="B416" s="9" t="s">
        <v>79</v>
      </c>
      <c r="C416" s="9">
        <v>0</v>
      </c>
      <c r="D416" s="9">
        <v>0</v>
      </c>
      <c r="E416" s="9">
        <v>0</v>
      </c>
      <c r="F416" s="9">
        <f t="shared" si="12"/>
        <v>0</v>
      </c>
    </row>
    <row r="417" spans="2:9" x14ac:dyDescent="0.3">
      <c r="B417" s="9" t="s">
        <v>215</v>
      </c>
      <c r="C417" s="9">
        <v>0</v>
      </c>
      <c r="D417" s="9">
        <v>0</v>
      </c>
      <c r="E417" s="9">
        <v>0</v>
      </c>
      <c r="F417" s="9">
        <f t="shared" si="12"/>
        <v>0</v>
      </c>
    </row>
    <row r="418" spans="2:9" x14ac:dyDescent="0.3">
      <c r="B418" s="9" t="s">
        <v>63</v>
      </c>
      <c r="C418" s="9">
        <v>0</v>
      </c>
      <c r="D418" s="9">
        <v>0</v>
      </c>
      <c r="E418" s="9">
        <v>0</v>
      </c>
      <c r="F418" s="9">
        <f t="shared" si="12"/>
        <v>0</v>
      </c>
    </row>
    <row r="419" spans="2:9" x14ac:dyDescent="0.3">
      <c r="B419" s="9" t="s">
        <v>216</v>
      </c>
      <c r="C419" s="9">
        <v>0</v>
      </c>
      <c r="D419" s="9">
        <v>0</v>
      </c>
      <c r="E419" s="9">
        <v>0</v>
      </c>
      <c r="F419" s="9">
        <f t="shared" si="12"/>
        <v>0</v>
      </c>
    </row>
    <row r="420" spans="2:9" x14ac:dyDescent="0.3">
      <c r="B420" s="9" t="s">
        <v>64</v>
      </c>
      <c r="C420" s="9">
        <v>262</v>
      </c>
      <c r="D420" s="9">
        <v>0</v>
      </c>
      <c r="E420" s="9">
        <v>0</v>
      </c>
      <c r="F420" s="9">
        <f t="shared" si="12"/>
        <v>262</v>
      </c>
    </row>
    <row r="421" spans="2:9" x14ac:dyDescent="0.3">
      <c r="B421" s="9" t="s">
        <v>65</v>
      </c>
      <c r="C421" s="9">
        <v>0</v>
      </c>
      <c r="D421" s="9">
        <v>0</v>
      </c>
      <c r="E421" s="9">
        <v>0</v>
      </c>
      <c r="F421" s="9">
        <f t="shared" si="12"/>
        <v>0</v>
      </c>
    </row>
    <row r="422" spans="2:9" x14ac:dyDescent="0.3">
      <c r="B422" s="9" t="s">
        <v>217</v>
      </c>
      <c r="C422" s="9">
        <v>0</v>
      </c>
      <c r="D422" s="9">
        <v>0</v>
      </c>
      <c r="E422" s="9">
        <v>0</v>
      </c>
      <c r="F422" s="9">
        <f t="shared" si="12"/>
        <v>0</v>
      </c>
    </row>
    <row r="423" spans="2:9" ht="15" thickBot="1" x14ac:dyDescent="0.35">
      <c r="B423" s="28" t="s">
        <v>66</v>
      </c>
      <c r="C423" s="28">
        <v>0</v>
      </c>
      <c r="D423" s="28">
        <v>0</v>
      </c>
      <c r="E423" s="28">
        <v>0</v>
      </c>
      <c r="F423" s="28">
        <f t="shared" si="12"/>
        <v>0</v>
      </c>
    </row>
    <row r="424" spans="2:9" x14ac:dyDescent="0.3">
      <c r="B424" s="27" t="s">
        <v>269</v>
      </c>
      <c r="C424" s="27">
        <f>SUM(C383:C423)</f>
        <v>944</v>
      </c>
      <c r="D424" s="27">
        <f>SUM(D383:D423)</f>
        <v>248</v>
      </c>
      <c r="E424" s="27">
        <f>SUM(E383:E423)</f>
        <v>2729</v>
      </c>
      <c r="F424" s="27">
        <f>SUM(F383:F423)</f>
        <v>3921</v>
      </c>
    </row>
    <row r="425" spans="2:9" x14ac:dyDescent="0.3">
      <c r="B425" s="8" t="s">
        <v>226</v>
      </c>
      <c r="C425" s="23">
        <f>C424 / F424</f>
        <v>0.24075490946187197</v>
      </c>
      <c r="D425" s="23">
        <f>D424 / F424</f>
        <v>6.3249171129813819E-2</v>
      </c>
      <c r="E425" s="23">
        <f>E424 / F424</f>
        <v>0.69599591940831418</v>
      </c>
      <c r="F425" s="23">
        <f>F424 / F424</f>
        <v>1</v>
      </c>
    </row>
    <row r="427" spans="2:9" x14ac:dyDescent="0.3">
      <c r="B427" s="11" t="s">
        <v>263</v>
      </c>
      <c r="C427" s="12"/>
      <c r="D427" s="12"/>
      <c r="E427" s="12"/>
      <c r="F427" s="12"/>
      <c r="G427" s="12"/>
      <c r="H427" s="12"/>
      <c r="I427" s="12"/>
    </row>
    <row r="428" spans="2:9" x14ac:dyDescent="0.3">
      <c r="B428" s="12"/>
      <c r="C428" s="12"/>
      <c r="D428" s="12"/>
      <c r="E428" s="12"/>
      <c r="F428" s="12"/>
      <c r="G428" s="12"/>
      <c r="H428" s="12"/>
      <c r="I428" s="12"/>
    </row>
    <row r="429" spans="2:9" s="6" customFormat="1" ht="30" customHeight="1" x14ac:dyDescent="0.3">
      <c r="B429" s="20" t="s">
        <v>1</v>
      </c>
      <c r="C429" s="20" t="s">
        <v>137</v>
      </c>
      <c r="D429" s="20" t="s">
        <v>138</v>
      </c>
      <c r="E429" s="20" t="s">
        <v>253</v>
      </c>
      <c r="F429" s="20" t="s">
        <v>140</v>
      </c>
      <c r="G429" s="20" t="s">
        <v>141</v>
      </c>
      <c r="H429" s="20" t="s">
        <v>142</v>
      </c>
      <c r="I429" s="21" t="s">
        <v>224</v>
      </c>
    </row>
    <row r="430" spans="2:9" x14ac:dyDescent="0.3">
      <c r="B430" s="9" t="s">
        <v>41</v>
      </c>
      <c r="C430" s="9">
        <v>0</v>
      </c>
      <c r="D430" s="9">
        <v>0</v>
      </c>
      <c r="E430" s="9">
        <v>0</v>
      </c>
      <c r="F430" s="9">
        <v>0</v>
      </c>
      <c r="G430" s="9">
        <v>0</v>
      </c>
      <c r="H430" s="9">
        <v>0</v>
      </c>
      <c r="I430" s="9">
        <f t="shared" ref="I430:I470" si="13">SUM(C430:H430)</f>
        <v>0</v>
      </c>
    </row>
    <row r="431" spans="2:9" x14ac:dyDescent="0.3">
      <c r="B431" s="9" t="s">
        <v>76</v>
      </c>
      <c r="C431" s="9">
        <v>0</v>
      </c>
      <c r="D431" s="9">
        <v>0</v>
      </c>
      <c r="E431" s="9">
        <v>0</v>
      </c>
      <c r="F431" s="9">
        <v>0</v>
      </c>
      <c r="G431" s="9">
        <v>0</v>
      </c>
      <c r="H431" s="9">
        <v>0</v>
      </c>
      <c r="I431" s="9">
        <f t="shared" si="13"/>
        <v>0</v>
      </c>
    </row>
    <row r="432" spans="2:9" x14ac:dyDescent="0.3">
      <c r="B432" s="9" t="s">
        <v>42</v>
      </c>
      <c r="C432" s="9">
        <v>0</v>
      </c>
      <c r="D432" s="9">
        <v>0</v>
      </c>
      <c r="E432" s="9">
        <v>0</v>
      </c>
      <c r="F432" s="9">
        <v>0</v>
      </c>
      <c r="G432" s="9">
        <v>0</v>
      </c>
      <c r="H432" s="9">
        <v>0</v>
      </c>
      <c r="I432" s="9">
        <f t="shared" si="13"/>
        <v>0</v>
      </c>
    </row>
    <row r="433" spans="2:9" x14ac:dyDescent="0.3">
      <c r="B433" s="9" t="s">
        <v>43</v>
      </c>
      <c r="C433" s="9">
        <v>0</v>
      </c>
      <c r="D433" s="9">
        <v>0</v>
      </c>
      <c r="E433" s="9">
        <v>0</v>
      </c>
      <c r="F433" s="9">
        <v>0</v>
      </c>
      <c r="G433" s="9">
        <v>0</v>
      </c>
      <c r="H433" s="9">
        <v>0</v>
      </c>
      <c r="I433" s="9">
        <f t="shared" si="13"/>
        <v>0</v>
      </c>
    </row>
    <row r="434" spans="2:9" x14ac:dyDescent="0.3">
      <c r="B434" s="9" t="s">
        <v>44</v>
      </c>
      <c r="C434" s="9">
        <v>0</v>
      </c>
      <c r="D434" s="9">
        <v>0</v>
      </c>
      <c r="E434" s="9">
        <v>0</v>
      </c>
      <c r="F434" s="9">
        <v>0</v>
      </c>
      <c r="G434" s="9">
        <v>0</v>
      </c>
      <c r="H434" s="9">
        <v>0</v>
      </c>
      <c r="I434" s="9">
        <f t="shared" si="13"/>
        <v>0</v>
      </c>
    </row>
    <row r="435" spans="2:9" x14ac:dyDescent="0.3">
      <c r="B435" s="9" t="s">
        <v>45</v>
      </c>
      <c r="C435" s="9">
        <v>0</v>
      </c>
      <c r="D435" s="9">
        <v>0</v>
      </c>
      <c r="E435" s="9">
        <v>0</v>
      </c>
      <c r="F435" s="9">
        <v>0</v>
      </c>
      <c r="G435" s="9">
        <v>0</v>
      </c>
      <c r="H435" s="9">
        <v>0</v>
      </c>
      <c r="I435" s="9">
        <f t="shared" si="13"/>
        <v>0</v>
      </c>
    </row>
    <row r="436" spans="2:9" x14ac:dyDescent="0.3">
      <c r="B436" s="9" t="s">
        <v>207</v>
      </c>
      <c r="C436" s="9">
        <v>0</v>
      </c>
      <c r="D436" s="9">
        <v>0</v>
      </c>
      <c r="E436" s="9">
        <v>0</v>
      </c>
      <c r="F436" s="9">
        <v>0</v>
      </c>
      <c r="G436" s="9">
        <v>0</v>
      </c>
      <c r="H436" s="9">
        <v>0</v>
      </c>
      <c r="I436" s="9">
        <f t="shared" si="13"/>
        <v>0</v>
      </c>
    </row>
    <row r="437" spans="2:9" x14ac:dyDescent="0.3">
      <c r="B437" s="9" t="s">
        <v>46</v>
      </c>
      <c r="C437" s="9">
        <v>0</v>
      </c>
      <c r="D437" s="9">
        <v>0</v>
      </c>
      <c r="E437" s="9">
        <v>0</v>
      </c>
      <c r="F437" s="9">
        <v>0</v>
      </c>
      <c r="G437" s="9">
        <v>0</v>
      </c>
      <c r="H437" s="9">
        <v>11</v>
      </c>
      <c r="I437" s="9">
        <f t="shared" si="13"/>
        <v>11</v>
      </c>
    </row>
    <row r="438" spans="2:9" x14ac:dyDescent="0.3">
      <c r="B438" s="9" t="s">
        <v>47</v>
      </c>
      <c r="C438" s="9">
        <v>0</v>
      </c>
      <c r="D438" s="9">
        <v>0</v>
      </c>
      <c r="E438" s="9">
        <v>0</v>
      </c>
      <c r="F438" s="9">
        <v>0</v>
      </c>
      <c r="G438" s="9">
        <v>0</v>
      </c>
      <c r="H438" s="9">
        <v>0</v>
      </c>
      <c r="I438" s="9">
        <f t="shared" si="13"/>
        <v>0</v>
      </c>
    </row>
    <row r="439" spans="2:9" x14ac:dyDescent="0.3">
      <c r="B439" s="9" t="s">
        <v>48</v>
      </c>
      <c r="C439" s="9">
        <v>0</v>
      </c>
      <c r="D439" s="9">
        <v>0</v>
      </c>
      <c r="E439" s="9">
        <v>0</v>
      </c>
      <c r="F439" s="9">
        <v>0</v>
      </c>
      <c r="G439" s="9">
        <v>0</v>
      </c>
      <c r="H439" s="9">
        <v>0</v>
      </c>
      <c r="I439" s="9">
        <f t="shared" si="13"/>
        <v>0</v>
      </c>
    </row>
    <row r="440" spans="2:9" x14ac:dyDescent="0.3">
      <c r="B440" s="9" t="s">
        <v>49</v>
      </c>
      <c r="C440" s="9">
        <v>0</v>
      </c>
      <c r="D440" s="9">
        <v>0</v>
      </c>
      <c r="E440" s="9">
        <v>0</v>
      </c>
      <c r="F440" s="9">
        <v>0</v>
      </c>
      <c r="G440" s="9">
        <v>0</v>
      </c>
      <c r="H440" s="9">
        <v>0</v>
      </c>
      <c r="I440" s="9">
        <f t="shared" si="13"/>
        <v>0</v>
      </c>
    </row>
    <row r="441" spans="2:9" x14ac:dyDescent="0.3">
      <c r="B441" s="9" t="s">
        <v>208</v>
      </c>
      <c r="C441" s="9">
        <v>0</v>
      </c>
      <c r="D441" s="9">
        <v>0</v>
      </c>
      <c r="E441" s="9">
        <v>0</v>
      </c>
      <c r="F441" s="9">
        <v>0</v>
      </c>
      <c r="G441" s="9">
        <v>0</v>
      </c>
      <c r="H441" s="9">
        <v>0</v>
      </c>
      <c r="I441" s="9">
        <f t="shared" si="13"/>
        <v>0</v>
      </c>
    </row>
    <row r="442" spans="2:9" x14ac:dyDescent="0.3">
      <c r="B442" s="9" t="s">
        <v>50</v>
      </c>
      <c r="C442" s="9">
        <v>0</v>
      </c>
      <c r="D442" s="9">
        <v>0</v>
      </c>
      <c r="E442" s="9">
        <v>0</v>
      </c>
      <c r="F442" s="9">
        <v>0</v>
      </c>
      <c r="G442" s="9">
        <v>0</v>
      </c>
      <c r="H442" s="9">
        <v>0</v>
      </c>
      <c r="I442" s="9">
        <f t="shared" si="13"/>
        <v>0</v>
      </c>
    </row>
    <row r="443" spans="2:9" x14ac:dyDescent="0.3">
      <c r="B443" s="9" t="s">
        <v>51</v>
      </c>
      <c r="C443" s="9">
        <v>0</v>
      </c>
      <c r="D443" s="9">
        <v>0</v>
      </c>
      <c r="E443" s="9">
        <v>0</v>
      </c>
      <c r="F443" s="9">
        <v>0</v>
      </c>
      <c r="G443" s="9">
        <v>0</v>
      </c>
      <c r="H443" s="9">
        <v>0</v>
      </c>
      <c r="I443" s="9">
        <f t="shared" si="13"/>
        <v>0</v>
      </c>
    </row>
    <row r="444" spans="2:9" x14ac:dyDescent="0.3">
      <c r="B444" s="9" t="s">
        <v>52</v>
      </c>
      <c r="C444" s="9">
        <v>0</v>
      </c>
      <c r="D444" s="9">
        <v>0</v>
      </c>
      <c r="E444" s="9">
        <v>0</v>
      </c>
      <c r="F444" s="9">
        <v>0</v>
      </c>
      <c r="G444" s="9">
        <v>0</v>
      </c>
      <c r="H444" s="9">
        <v>0</v>
      </c>
      <c r="I444" s="9">
        <f t="shared" si="13"/>
        <v>0</v>
      </c>
    </row>
    <row r="445" spans="2:9" x14ac:dyDescent="0.3">
      <c r="B445" s="9" t="s">
        <v>53</v>
      </c>
      <c r="C445" s="9">
        <v>0</v>
      </c>
      <c r="D445" s="9">
        <v>0</v>
      </c>
      <c r="E445" s="9">
        <v>0</v>
      </c>
      <c r="F445" s="9">
        <v>0</v>
      </c>
      <c r="G445" s="9">
        <v>0</v>
      </c>
      <c r="H445" s="9">
        <v>0</v>
      </c>
      <c r="I445" s="9">
        <f t="shared" si="13"/>
        <v>0</v>
      </c>
    </row>
    <row r="446" spans="2:9" x14ac:dyDescent="0.3">
      <c r="B446" s="9" t="s">
        <v>54</v>
      </c>
      <c r="C446" s="9">
        <v>0</v>
      </c>
      <c r="D446" s="9">
        <v>0</v>
      </c>
      <c r="E446" s="9">
        <v>0</v>
      </c>
      <c r="F446" s="9">
        <v>0</v>
      </c>
      <c r="G446" s="9">
        <v>0</v>
      </c>
      <c r="H446" s="9">
        <v>0</v>
      </c>
      <c r="I446" s="9">
        <f t="shared" si="13"/>
        <v>0</v>
      </c>
    </row>
    <row r="447" spans="2:9" x14ac:dyDescent="0.3">
      <c r="B447" s="9" t="s">
        <v>55</v>
      </c>
      <c r="C447" s="9">
        <v>0</v>
      </c>
      <c r="D447" s="9">
        <v>0</v>
      </c>
      <c r="E447" s="9">
        <v>0</v>
      </c>
      <c r="F447" s="9">
        <v>0</v>
      </c>
      <c r="G447" s="9">
        <v>0</v>
      </c>
      <c r="H447" s="9">
        <v>0</v>
      </c>
      <c r="I447" s="9">
        <f t="shared" si="13"/>
        <v>0</v>
      </c>
    </row>
    <row r="448" spans="2:9" x14ac:dyDescent="0.3">
      <c r="B448" s="9" t="s">
        <v>209</v>
      </c>
      <c r="C448" s="9">
        <v>0</v>
      </c>
      <c r="D448" s="9">
        <v>0</v>
      </c>
      <c r="E448" s="9">
        <v>0</v>
      </c>
      <c r="F448" s="9">
        <v>0</v>
      </c>
      <c r="G448" s="9">
        <v>0</v>
      </c>
      <c r="H448" s="9">
        <v>0</v>
      </c>
      <c r="I448" s="9">
        <f t="shared" si="13"/>
        <v>0</v>
      </c>
    </row>
    <row r="449" spans="2:9" x14ac:dyDescent="0.3">
      <c r="B449" s="9" t="s">
        <v>56</v>
      </c>
      <c r="C449" s="9">
        <v>0</v>
      </c>
      <c r="D449" s="9">
        <v>0</v>
      </c>
      <c r="E449" s="9">
        <v>0</v>
      </c>
      <c r="F449" s="9">
        <v>0</v>
      </c>
      <c r="G449" s="9">
        <v>0</v>
      </c>
      <c r="H449" s="9">
        <v>0</v>
      </c>
      <c r="I449" s="9">
        <f t="shared" si="13"/>
        <v>0</v>
      </c>
    </row>
    <row r="450" spans="2:9" x14ac:dyDescent="0.3">
      <c r="B450" s="9" t="s">
        <v>57</v>
      </c>
      <c r="C450" s="9">
        <v>0</v>
      </c>
      <c r="D450" s="9">
        <v>0</v>
      </c>
      <c r="E450" s="9">
        <v>0</v>
      </c>
      <c r="F450" s="9">
        <v>0</v>
      </c>
      <c r="G450" s="9">
        <v>0</v>
      </c>
      <c r="H450" s="9">
        <v>0</v>
      </c>
      <c r="I450" s="9">
        <f t="shared" si="13"/>
        <v>0</v>
      </c>
    </row>
    <row r="451" spans="2:9" x14ac:dyDescent="0.3">
      <c r="B451" s="9" t="s">
        <v>210</v>
      </c>
      <c r="C451" s="9">
        <v>0</v>
      </c>
      <c r="D451" s="9">
        <v>0</v>
      </c>
      <c r="E451" s="9">
        <v>0</v>
      </c>
      <c r="F451" s="9">
        <v>0</v>
      </c>
      <c r="G451" s="9">
        <v>0</v>
      </c>
      <c r="H451" s="9">
        <v>0</v>
      </c>
      <c r="I451" s="9">
        <f t="shared" si="13"/>
        <v>0</v>
      </c>
    </row>
    <row r="452" spans="2:9" x14ac:dyDescent="0.3">
      <c r="B452" s="9" t="s">
        <v>58</v>
      </c>
      <c r="C452" s="9">
        <v>0</v>
      </c>
      <c r="D452" s="9">
        <v>0</v>
      </c>
      <c r="E452" s="9">
        <v>0</v>
      </c>
      <c r="F452" s="9">
        <v>0</v>
      </c>
      <c r="G452" s="9">
        <v>0</v>
      </c>
      <c r="H452" s="9">
        <v>0</v>
      </c>
      <c r="I452" s="9">
        <f t="shared" si="13"/>
        <v>0</v>
      </c>
    </row>
    <row r="453" spans="2:9" x14ac:dyDescent="0.3">
      <c r="B453" s="9" t="s">
        <v>211</v>
      </c>
      <c r="C453" s="9">
        <v>0</v>
      </c>
      <c r="D453" s="9">
        <v>0</v>
      </c>
      <c r="E453" s="9">
        <v>0</v>
      </c>
      <c r="F453" s="9">
        <v>0</v>
      </c>
      <c r="G453" s="9">
        <v>0</v>
      </c>
      <c r="H453" s="9">
        <v>0</v>
      </c>
      <c r="I453" s="9">
        <f t="shared" si="13"/>
        <v>0</v>
      </c>
    </row>
    <row r="454" spans="2:9" x14ac:dyDescent="0.3">
      <c r="B454" s="9" t="s">
        <v>212</v>
      </c>
      <c r="C454" s="9">
        <v>0</v>
      </c>
      <c r="D454" s="9">
        <v>0</v>
      </c>
      <c r="E454" s="9">
        <v>0</v>
      </c>
      <c r="F454" s="9">
        <v>0</v>
      </c>
      <c r="G454" s="9">
        <v>0</v>
      </c>
      <c r="H454" s="9">
        <v>0</v>
      </c>
      <c r="I454" s="9">
        <f t="shared" si="13"/>
        <v>0</v>
      </c>
    </row>
    <row r="455" spans="2:9" x14ac:dyDescent="0.3">
      <c r="B455" s="9" t="s">
        <v>213</v>
      </c>
      <c r="C455" s="9">
        <v>0</v>
      </c>
      <c r="D455" s="9">
        <v>0</v>
      </c>
      <c r="E455" s="9">
        <v>0</v>
      </c>
      <c r="F455" s="9">
        <v>0</v>
      </c>
      <c r="G455" s="9">
        <v>0</v>
      </c>
      <c r="H455" s="9">
        <v>0</v>
      </c>
      <c r="I455" s="9">
        <f t="shared" si="13"/>
        <v>0</v>
      </c>
    </row>
    <row r="456" spans="2:9" x14ac:dyDescent="0.3">
      <c r="B456" s="9" t="s">
        <v>59</v>
      </c>
      <c r="C456" s="9">
        <v>0</v>
      </c>
      <c r="D456" s="9">
        <v>0</v>
      </c>
      <c r="E456" s="9">
        <v>0</v>
      </c>
      <c r="F456" s="9">
        <v>0</v>
      </c>
      <c r="G456" s="9">
        <v>0</v>
      </c>
      <c r="H456" s="9">
        <v>0</v>
      </c>
      <c r="I456" s="9">
        <f t="shared" si="13"/>
        <v>0</v>
      </c>
    </row>
    <row r="457" spans="2:9" x14ac:dyDescent="0.3">
      <c r="B457" s="9" t="s">
        <v>214</v>
      </c>
      <c r="C457" s="9">
        <v>0</v>
      </c>
      <c r="D457" s="9">
        <v>0</v>
      </c>
      <c r="E457" s="9">
        <v>0</v>
      </c>
      <c r="F457" s="9">
        <v>0</v>
      </c>
      <c r="G457" s="9">
        <v>0</v>
      </c>
      <c r="H457" s="9">
        <v>0</v>
      </c>
      <c r="I457" s="9">
        <f t="shared" si="13"/>
        <v>0</v>
      </c>
    </row>
    <row r="458" spans="2:9" x14ac:dyDescent="0.3">
      <c r="B458" s="9" t="s">
        <v>60</v>
      </c>
      <c r="C458" s="9">
        <v>0</v>
      </c>
      <c r="D458" s="9">
        <v>0</v>
      </c>
      <c r="E458" s="9">
        <v>0</v>
      </c>
      <c r="F458" s="9">
        <v>0</v>
      </c>
      <c r="G458" s="9">
        <v>0</v>
      </c>
      <c r="H458" s="9">
        <v>0</v>
      </c>
      <c r="I458" s="9">
        <f t="shared" si="13"/>
        <v>0</v>
      </c>
    </row>
    <row r="459" spans="2:9" x14ac:dyDescent="0.3">
      <c r="B459" s="9" t="s">
        <v>61</v>
      </c>
      <c r="C459" s="9">
        <v>0</v>
      </c>
      <c r="D459" s="9">
        <v>0</v>
      </c>
      <c r="E459" s="9">
        <v>0</v>
      </c>
      <c r="F459" s="9">
        <v>0</v>
      </c>
      <c r="G459" s="9">
        <v>0</v>
      </c>
      <c r="H459" s="9">
        <v>0</v>
      </c>
      <c r="I459" s="9">
        <f t="shared" si="13"/>
        <v>0</v>
      </c>
    </row>
    <row r="460" spans="2:9" x14ac:dyDescent="0.3">
      <c r="B460" s="9" t="s">
        <v>78</v>
      </c>
      <c r="C460" s="9">
        <v>0</v>
      </c>
      <c r="D460" s="9">
        <v>0</v>
      </c>
      <c r="E460" s="9">
        <v>0</v>
      </c>
      <c r="F460" s="9">
        <v>0</v>
      </c>
      <c r="G460" s="9">
        <v>0</v>
      </c>
      <c r="H460" s="9">
        <v>120</v>
      </c>
      <c r="I460" s="9">
        <f t="shared" si="13"/>
        <v>120</v>
      </c>
    </row>
    <row r="461" spans="2:9" x14ac:dyDescent="0.3">
      <c r="B461" s="9" t="s">
        <v>62</v>
      </c>
      <c r="C461" s="9">
        <v>0</v>
      </c>
      <c r="D461" s="9">
        <v>0</v>
      </c>
      <c r="E461" s="9">
        <v>0</v>
      </c>
      <c r="F461" s="9">
        <v>0</v>
      </c>
      <c r="G461" s="9">
        <v>0</v>
      </c>
      <c r="H461" s="9">
        <v>0</v>
      </c>
      <c r="I461" s="9">
        <f t="shared" si="13"/>
        <v>0</v>
      </c>
    </row>
    <row r="462" spans="2:9" x14ac:dyDescent="0.3">
      <c r="B462" s="9" t="s">
        <v>314</v>
      </c>
      <c r="C462" s="9">
        <v>0</v>
      </c>
      <c r="D462" s="9">
        <v>0</v>
      </c>
      <c r="E462" s="9">
        <v>0</v>
      </c>
      <c r="F462" s="9">
        <v>0</v>
      </c>
      <c r="G462" s="9">
        <v>0</v>
      </c>
      <c r="H462" s="9">
        <v>0</v>
      </c>
      <c r="I462" s="9">
        <f t="shared" si="13"/>
        <v>0</v>
      </c>
    </row>
    <row r="463" spans="2:9" x14ac:dyDescent="0.3">
      <c r="B463" s="9" t="s">
        <v>79</v>
      </c>
      <c r="C463" s="9">
        <v>0</v>
      </c>
      <c r="D463" s="9">
        <v>0</v>
      </c>
      <c r="E463" s="9">
        <v>0</v>
      </c>
      <c r="F463" s="9">
        <v>5440</v>
      </c>
      <c r="G463" s="9">
        <v>0</v>
      </c>
      <c r="H463" s="9">
        <v>0</v>
      </c>
      <c r="I463" s="9">
        <f t="shared" si="13"/>
        <v>5440</v>
      </c>
    </row>
    <row r="464" spans="2:9" x14ac:dyDescent="0.3">
      <c r="B464" s="9" t="s">
        <v>215</v>
      </c>
      <c r="C464" s="9">
        <v>0</v>
      </c>
      <c r="D464" s="9">
        <v>0</v>
      </c>
      <c r="E464" s="9">
        <v>0</v>
      </c>
      <c r="F464" s="9">
        <v>0</v>
      </c>
      <c r="G464" s="9">
        <v>0</v>
      </c>
      <c r="H464" s="9">
        <v>0</v>
      </c>
      <c r="I464" s="9">
        <f t="shared" si="13"/>
        <v>0</v>
      </c>
    </row>
    <row r="465" spans="2:9" x14ac:dyDescent="0.3">
      <c r="B465" s="9" t="s">
        <v>63</v>
      </c>
      <c r="C465" s="9">
        <v>1094</v>
      </c>
      <c r="D465" s="9">
        <v>12677</v>
      </c>
      <c r="E465" s="9">
        <v>0</v>
      </c>
      <c r="F465" s="9">
        <v>1320</v>
      </c>
      <c r="G465" s="9">
        <v>666</v>
      </c>
      <c r="H465" s="9">
        <v>400</v>
      </c>
      <c r="I465" s="9">
        <f t="shared" si="13"/>
        <v>16157</v>
      </c>
    </row>
    <row r="466" spans="2:9" x14ac:dyDescent="0.3">
      <c r="B466" s="9" t="s">
        <v>216</v>
      </c>
      <c r="C466" s="9">
        <v>0</v>
      </c>
      <c r="D466" s="9">
        <v>0</v>
      </c>
      <c r="E466" s="9">
        <v>0</v>
      </c>
      <c r="F466" s="9">
        <v>0</v>
      </c>
      <c r="G466" s="9">
        <v>0</v>
      </c>
      <c r="H466" s="9">
        <v>0</v>
      </c>
      <c r="I466" s="9">
        <f t="shared" si="13"/>
        <v>0</v>
      </c>
    </row>
    <row r="467" spans="2:9" x14ac:dyDescent="0.3">
      <c r="B467" s="9" t="s">
        <v>64</v>
      </c>
      <c r="C467" s="9">
        <v>1514</v>
      </c>
      <c r="D467" s="9">
        <v>0</v>
      </c>
      <c r="E467" s="9">
        <v>0</v>
      </c>
      <c r="F467" s="9">
        <v>0</v>
      </c>
      <c r="G467" s="9">
        <v>1643</v>
      </c>
      <c r="H467" s="9">
        <v>37</v>
      </c>
      <c r="I467" s="9">
        <f t="shared" si="13"/>
        <v>3194</v>
      </c>
    </row>
    <row r="468" spans="2:9" x14ac:dyDescent="0.3">
      <c r="B468" s="9" t="s">
        <v>65</v>
      </c>
      <c r="C468" s="9">
        <v>0</v>
      </c>
      <c r="D468" s="9">
        <v>0</v>
      </c>
      <c r="E468" s="9">
        <v>0</v>
      </c>
      <c r="F468" s="9">
        <v>0</v>
      </c>
      <c r="G468" s="9">
        <v>0</v>
      </c>
      <c r="H468" s="9">
        <v>0</v>
      </c>
      <c r="I468" s="9">
        <f t="shared" si="13"/>
        <v>0</v>
      </c>
    </row>
    <row r="469" spans="2:9" x14ac:dyDescent="0.3">
      <c r="B469" s="9" t="s">
        <v>217</v>
      </c>
      <c r="C469" s="9">
        <v>688</v>
      </c>
      <c r="D469" s="9">
        <v>1237</v>
      </c>
      <c r="E469" s="9">
        <v>0</v>
      </c>
      <c r="F469" s="9">
        <v>2010</v>
      </c>
      <c r="G469" s="9">
        <v>460</v>
      </c>
      <c r="H469" s="9">
        <v>533</v>
      </c>
      <c r="I469" s="9">
        <f t="shared" si="13"/>
        <v>4928</v>
      </c>
    </row>
    <row r="470" spans="2:9" ht="15" thickBot="1" x14ac:dyDescent="0.35">
      <c r="B470" s="28" t="s">
        <v>66</v>
      </c>
      <c r="C470" s="28">
        <v>0</v>
      </c>
      <c r="D470" s="28">
        <v>0</v>
      </c>
      <c r="E470" s="28">
        <v>0</v>
      </c>
      <c r="F470" s="28">
        <v>0</v>
      </c>
      <c r="G470" s="28">
        <v>0</v>
      </c>
      <c r="H470" s="28">
        <v>0</v>
      </c>
      <c r="I470" s="28">
        <f t="shared" si="13"/>
        <v>0</v>
      </c>
    </row>
    <row r="471" spans="2:9" x14ac:dyDescent="0.3">
      <c r="B471" s="27" t="s">
        <v>269</v>
      </c>
      <c r="C471" s="27">
        <f t="shared" ref="C471:I471" si="14">SUM(C430:C470)</f>
        <v>3296</v>
      </c>
      <c r="D471" s="27">
        <f t="shared" si="14"/>
        <v>13914</v>
      </c>
      <c r="E471" s="27">
        <f t="shared" si="14"/>
        <v>0</v>
      </c>
      <c r="F471" s="27">
        <f t="shared" si="14"/>
        <v>8770</v>
      </c>
      <c r="G471" s="27">
        <f t="shared" si="14"/>
        <v>2769</v>
      </c>
      <c r="H471" s="27">
        <f t="shared" si="14"/>
        <v>1101</v>
      </c>
      <c r="I471" s="27">
        <f t="shared" si="14"/>
        <v>29850</v>
      </c>
    </row>
    <row r="472" spans="2:9" x14ac:dyDescent="0.3">
      <c r="B472" s="8" t="s">
        <v>226</v>
      </c>
      <c r="C472" s="23">
        <f>C471 / I471</f>
        <v>0.11041876046901172</v>
      </c>
      <c r="D472" s="23">
        <f>D471 / I471</f>
        <v>0.46613065326633168</v>
      </c>
      <c r="E472" s="23">
        <f>E471 / I471</f>
        <v>0</v>
      </c>
      <c r="F472" s="23">
        <f>F471 / I471</f>
        <v>0.29380234505862646</v>
      </c>
      <c r="G472" s="23">
        <f>G471 / I471</f>
        <v>9.2763819095477387E-2</v>
      </c>
      <c r="H472" s="23">
        <f>H471 / I471</f>
        <v>3.6884422110552761E-2</v>
      </c>
      <c r="I472" s="23">
        <f>I471 / I471</f>
        <v>1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/>
  <dimension ref="B2:M442"/>
  <sheetViews>
    <sheetView zoomScaleNormal="100" workbookViewId="0">
      <selection activeCell="B1" sqref="B1"/>
    </sheetView>
  </sheetViews>
  <sheetFormatPr baseColWidth="10" defaultRowHeight="14.4" x14ac:dyDescent="0.3"/>
  <cols>
    <col min="1" max="1" width="37.6640625" customWidth="1"/>
    <col min="2" max="2" width="69.5546875" customWidth="1"/>
    <col min="3" max="3" width="14.77734375" customWidth="1"/>
    <col min="4" max="4" width="8.77734375" customWidth="1"/>
    <col min="5" max="5" width="14.77734375" customWidth="1"/>
    <col min="6" max="6" width="8.77734375" customWidth="1"/>
    <col min="7" max="7" width="14.77734375" customWidth="1"/>
    <col min="8" max="8" width="8.77734375" customWidth="1"/>
    <col min="9" max="9" width="14.77734375" customWidth="1"/>
    <col min="10" max="10" width="8.77734375" customWidth="1"/>
    <col min="11" max="11" width="14.77734375" customWidth="1"/>
    <col min="12" max="12" width="8.77734375" style="18" customWidth="1"/>
  </cols>
  <sheetData>
    <row r="2" spans="2:12" ht="15.6" x14ac:dyDescent="0.3">
      <c r="B2" s="50" t="s">
        <v>254</v>
      </c>
      <c r="C2" s="51"/>
      <c r="D2" s="51"/>
      <c r="E2" s="51"/>
      <c r="F2" s="51"/>
      <c r="G2" s="51"/>
      <c r="H2" s="51"/>
      <c r="I2" s="51"/>
      <c r="J2" s="51"/>
      <c r="K2" s="51"/>
    </row>
    <row r="4" spans="2:12" x14ac:dyDescent="0.3">
      <c r="B4" s="11" t="s">
        <v>264</v>
      </c>
      <c r="C4" s="12"/>
      <c r="D4" s="12"/>
      <c r="E4" s="12"/>
      <c r="F4" s="12"/>
      <c r="G4" s="12"/>
      <c r="H4" s="12"/>
      <c r="I4" s="12"/>
      <c r="J4" s="12"/>
      <c r="K4" s="12"/>
    </row>
    <row r="5" spans="2:12" x14ac:dyDescent="0.3">
      <c r="B5" s="12"/>
      <c r="C5" s="12"/>
      <c r="D5" s="12"/>
      <c r="E5" s="58" t="s">
        <v>265</v>
      </c>
      <c r="F5" s="59"/>
      <c r="G5" s="59"/>
      <c r="H5" s="59"/>
      <c r="I5" s="59"/>
      <c r="J5" s="60"/>
      <c r="K5" s="12"/>
    </row>
    <row r="6" spans="2:12" s="7" customFormat="1" ht="90" customHeight="1" x14ac:dyDescent="0.3">
      <c r="B6" s="20" t="s">
        <v>1</v>
      </c>
      <c r="C6" s="20" t="s">
        <v>75</v>
      </c>
      <c r="D6" s="20"/>
      <c r="E6" s="20" t="s">
        <v>4</v>
      </c>
      <c r="F6" s="20"/>
      <c r="G6" s="20" t="s">
        <v>5</v>
      </c>
      <c r="H6" s="20"/>
      <c r="I6" s="20" t="s">
        <v>6</v>
      </c>
      <c r="J6" s="20"/>
      <c r="K6" s="21" t="s">
        <v>224</v>
      </c>
      <c r="L6" s="35"/>
    </row>
    <row r="7" spans="2:12" x14ac:dyDescent="0.3">
      <c r="B7" s="9" t="s">
        <v>41</v>
      </c>
      <c r="C7" s="9">
        <v>80633</v>
      </c>
      <c r="D7" s="22">
        <f>IF(1342779&gt;0,C7 / K7,0)</f>
        <v>6.0049345424675243E-2</v>
      </c>
      <c r="E7" s="9">
        <v>784464</v>
      </c>
      <c r="F7" s="22">
        <f>IF(1342779&gt;0,E7 / K7,0)</f>
        <v>0.58420931515908425</v>
      </c>
      <c r="G7" s="9">
        <v>413998</v>
      </c>
      <c r="H7" s="22">
        <f>IF(1342779&gt;0,G7 / K7,0)</f>
        <v>0.30831432424844296</v>
      </c>
      <c r="I7" s="9">
        <v>63684</v>
      </c>
      <c r="J7" s="22">
        <f>IF(1342779&gt;0,I7 / K7,0)</f>
        <v>4.7427015167797529E-2</v>
      </c>
      <c r="K7" s="9">
        <f t="shared" ref="K7:K47" si="0">C7+E7+G7+I7</f>
        <v>1342779</v>
      </c>
      <c r="L7" s="36"/>
    </row>
    <row r="8" spans="2:12" x14ac:dyDescent="0.3">
      <c r="B8" s="9" t="s">
        <v>76</v>
      </c>
      <c r="C8" s="9">
        <v>10750</v>
      </c>
      <c r="D8" s="22">
        <f>IF(135022&gt;0,C8 / K8,0)</f>
        <v>7.9616655063619257E-2</v>
      </c>
      <c r="E8" s="9">
        <v>89133</v>
      </c>
      <c r="F8" s="22">
        <f>IF(135022&gt;0,E8 / K8,0)</f>
        <v>0.66013686658470472</v>
      </c>
      <c r="G8" s="9">
        <v>32087</v>
      </c>
      <c r="H8" s="22">
        <f>IF(135022&gt;0,G8 / K8,0)</f>
        <v>0.23764275451407918</v>
      </c>
      <c r="I8" s="9">
        <v>3052</v>
      </c>
      <c r="J8" s="22">
        <f>IF(135022&gt;0,I8 / K8,0)</f>
        <v>2.2603723837596835E-2</v>
      </c>
      <c r="K8" s="9">
        <f t="shared" si="0"/>
        <v>135022</v>
      </c>
      <c r="L8" s="36"/>
    </row>
    <row r="9" spans="2:12" x14ac:dyDescent="0.3">
      <c r="B9" s="9" t="s">
        <v>42</v>
      </c>
      <c r="C9" s="9">
        <v>89</v>
      </c>
      <c r="D9" s="22">
        <f>IF(8731&gt;0,C9 / K9,0)</f>
        <v>1.0193563165731303E-2</v>
      </c>
      <c r="E9" s="9">
        <v>5642</v>
      </c>
      <c r="F9" s="22">
        <f>IF(8731&gt;0,E9 / K9,0)</f>
        <v>0.6462031840568091</v>
      </c>
      <c r="G9" s="9">
        <v>789</v>
      </c>
      <c r="H9" s="22">
        <f>IF(8731&gt;0,G9 / K9,0)</f>
        <v>9.0367655480471876E-2</v>
      </c>
      <c r="I9" s="9">
        <v>2211</v>
      </c>
      <c r="J9" s="22">
        <f>IF(8731&gt;0,I9 / K9,0)</f>
        <v>0.25323559729698775</v>
      </c>
      <c r="K9" s="9">
        <f t="shared" si="0"/>
        <v>8731</v>
      </c>
      <c r="L9" s="36"/>
    </row>
    <row r="10" spans="2:12" x14ac:dyDescent="0.3">
      <c r="B10" s="9" t="s">
        <v>43</v>
      </c>
      <c r="C10" s="9">
        <v>2</v>
      </c>
      <c r="D10" s="22">
        <f>IF(2849&gt;0,C10 / K10,0)</f>
        <v>7.0200070200070197E-4</v>
      </c>
      <c r="E10" s="9">
        <v>1393</v>
      </c>
      <c r="F10" s="22">
        <f>IF(2849&gt;0,E10 / K10,0)</f>
        <v>0.48894348894348894</v>
      </c>
      <c r="G10" s="9">
        <v>1447</v>
      </c>
      <c r="H10" s="22">
        <f>IF(2849&gt;0,G10 / K10,0)</f>
        <v>0.50789750789750787</v>
      </c>
      <c r="I10" s="9">
        <v>7</v>
      </c>
      <c r="J10" s="22">
        <f>IF(2849&gt;0,I10 / K10,0)</f>
        <v>2.4570024570024569E-3</v>
      </c>
      <c r="K10" s="9">
        <f t="shared" si="0"/>
        <v>2849</v>
      </c>
      <c r="L10" s="36"/>
    </row>
    <row r="11" spans="2:12" x14ac:dyDescent="0.3">
      <c r="B11" s="9" t="s">
        <v>44</v>
      </c>
      <c r="C11" s="9">
        <v>0</v>
      </c>
      <c r="D11" s="22">
        <f>IF(0&gt;0,C11 / K11,0)</f>
        <v>0</v>
      </c>
      <c r="E11" s="9">
        <v>0</v>
      </c>
      <c r="F11" s="22">
        <f>IF(0&gt;0,E11 / K11,0)</f>
        <v>0</v>
      </c>
      <c r="G11" s="9">
        <v>0</v>
      </c>
      <c r="H11" s="22">
        <f>IF(0&gt;0,G11 / K11,0)</f>
        <v>0</v>
      </c>
      <c r="I11" s="9">
        <v>0</v>
      </c>
      <c r="J11" s="22">
        <f>IF(0&gt;0,I11 / K11,0)</f>
        <v>0</v>
      </c>
      <c r="K11" s="9">
        <f t="shared" si="0"/>
        <v>0</v>
      </c>
      <c r="L11" s="36"/>
    </row>
    <row r="12" spans="2:12" x14ac:dyDescent="0.3">
      <c r="B12" s="9" t="s">
        <v>45</v>
      </c>
      <c r="C12" s="9">
        <v>65</v>
      </c>
      <c r="D12" s="22">
        <f>IF(2971&gt;0,C12 / K12,0)</f>
        <v>2.1878155503197577E-2</v>
      </c>
      <c r="E12" s="9">
        <v>1367</v>
      </c>
      <c r="F12" s="22">
        <f>IF(2971&gt;0,E12 / K12,0)</f>
        <v>0.4601144395826321</v>
      </c>
      <c r="G12" s="9">
        <v>1488</v>
      </c>
      <c r="H12" s="22">
        <f>IF(2971&gt;0,G12 / K12,0)</f>
        <v>0.50084146751935377</v>
      </c>
      <c r="I12" s="9">
        <v>51</v>
      </c>
      <c r="J12" s="22">
        <f>IF(2971&gt;0,I12 / K12,0)</f>
        <v>1.7165937394816561E-2</v>
      </c>
      <c r="K12" s="9">
        <f t="shared" si="0"/>
        <v>2971</v>
      </c>
      <c r="L12" s="36"/>
    </row>
    <row r="13" spans="2:12" x14ac:dyDescent="0.3">
      <c r="B13" s="9" t="s">
        <v>207</v>
      </c>
      <c r="C13" s="9">
        <v>18</v>
      </c>
      <c r="D13" s="22">
        <f>IF(6075&gt;0,C13 / K13,0)</f>
        <v>2.9629629629629628E-3</v>
      </c>
      <c r="E13" s="9">
        <v>5320</v>
      </c>
      <c r="F13" s="22">
        <f>IF(6075&gt;0,E13 / K13,0)</f>
        <v>0.87572016460905355</v>
      </c>
      <c r="G13" s="9">
        <v>651</v>
      </c>
      <c r="H13" s="22">
        <f>IF(6075&gt;0,G13 / K13,0)</f>
        <v>0.10716049382716049</v>
      </c>
      <c r="I13" s="9">
        <v>86</v>
      </c>
      <c r="J13" s="22">
        <f>IF(6075&gt;0,I13 / K13,0)</f>
        <v>1.4156378600823045E-2</v>
      </c>
      <c r="K13" s="9">
        <f t="shared" si="0"/>
        <v>6075</v>
      </c>
      <c r="L13" s="36"/>
    </row>
    <row r="14" spans="2:12" x14ac:dyDescent="0.3">
      <c r="B14" s="9" t="s">
        <v>46</v>
      </c>
      <c r="C14" s="9">
        <v>19487</v>
      </c>
      <c r="D14" s="22">
        <f>IF(62771&gt;0,C14 / K14,0)</f>
        <v>0.31044590654920268</v>
      </c>
      <c r="E14" s="9">
        <v>41212</v>
      </c>
      <c r="F14" s="22">
        <f>IF(62771&gt;0,E14 / K14,0)</f>
        <v>0.65654521992639914</v>
      </c>
      <c r="G14" s="9">
        <v>1935</v>
      </c>
      <c r="H14" s="22">
        <f>IF(62771&gt;0,G14 / K14,0)</f>
        <v>3.0826337002756051E-2</v>
      </c>
      <c r="I14" s="9">
        <v>137</v>
      </c>
      <c r="J14" s="22">
        <f>IF(62771&gt;0,I14 / K14,0)</f>
        <v>2.1825365216421597E-3</v>
      </c>
      <c r="K14" s="9">
        <f t="shared" si="0"/>
        <v>62771</v>
      </c>
      <c r="L14" s="36"/>
    </row>
    <row r="15" spans="2:12" x14ac:dyDescent="0.3">
      <c r="B15" s="9" t="s">
        <v>47</v>
      </c>
      <c r="C15" s="9">
        <v>8</v>
      </c>
      <c r="D15" s="22">
        <f>IF(862&gt;0,C15 / K15,0)</f>
        <v>9.2807424593967514E-3</v>
      </c>
      <c r="E15" s="9">
        <v>703</v>
      </c>
      <c r="F15" s="22">
        <f>IF(862&gt;0,E15 / K15,0)</f>
        <v>0.81554524361948955</v>
      </c>
      <c r="G15" s="9">
        <v>151</v>
      </c>
      <c r="H15" s="22">
        <f>IF(862&gt;0,G15 / K15,0)</f>
        <v>0.1751740139211137</v>
      </c>
      <c r="I15" s="9">
        <v>0</v>
      </c>
      <c r="J15" s="22">
        <f>IF(862&gt;0,I15 / K15,0)</f>
        <v>0</v>
      </c>
      <c r="K15" s="9">
        <f t="shared" si="0"/>
        <v>862</v>
      </c>
      <c r="L15" s="36"/>
    </row>
    <row r="16" spans="2:12" x14ac:dyDescent="0.3">
      <c r="B16" s="9" t="s">
        <v>48</v>
      </c>
      <c r="C16" s="9">
        <v>0</v>
      </c>
      <c r="D16" s="22">
        <f>IF(2657&gt;0,C16 / K16,0)</f>
        <v>0</v>
      </c>
      <c r="E16" s="9">
        <v>2378</v>
      </c>
      <c r="F16" s="22">
        <f>IF(2657&gt;0,E16 / K16,0)</f>
        <v>0.89499435453519005</v>
      </c>
      <c r="G16" s="9">
        <v>274</v>
      </c>
      <c r="H16" s="22">
        <f>IF(2657&gt;0,G16 / K16,0)</f>
        <v>0.10312382386149793</v>
      </c>
      <c r="I16" s="9">
        <v>5</v>
      </c>
      <c r="J16" s="22">
        <f>IF(2657&gt;0,I16 / K16,0)</f>
        <v>1.8818216033120059E-3</v>
      </c>
      <c r="K16" s="9">
        <f t="shared" si="0"/>
        <v>2657</v>
      </c>
      <c r="L16" s="36"/>
    </row>
    <row r="17" spans="2:12" x14ac:dyDescent="0.3">
      <c r="B17" s="9" t="s">
        <v>49</v>
      </c>
      <c r="C17" s="9">
        <v>3</v>
      </c>
      <c r="D17" s="22">
        <f>IF(127&gt;0,C17 / K17,0)</f>
        <v>2.3622047244094488E-2</v>
      </c>
      <c r="E17" s="9">
        <v>50</v>
      </c>
      <c r="F17" s="22">
        <f>IF(127&gt;0,E17 / K17,0)</f>
        <v>0.39370078740157483</v>
      </c>
      <c r="G17" s="9">
        <v>64</v>
      </c>
      <c r="H17" s="22">
        <f>IF(127&gt;0,G17 / K17,0)</f>
        <v>0.50393700787401574</v>
      </c>
      <c r="I17" s="9">
        <v>10</v>
      </c>
      <c r="J17" s="22">
        <f>IF(127&gt;0,I17 / K17,0)</f>
        <v>7.874015748031496E-2</v>
      </c>
      <c r="K17" s="9">
        <f t="shared" si="0"/>
        <v>127</v>
      </c>
      <c r="L17" s="36"/>
    </row>
    <row r="18" spans="2:12" x14ac:dyDescent="0.3">
      <c r="B18" s="9" t="s">
        <v>208</v>
      </c>
      <c r="C18" s="9">
        <v>0</v>
      </c>
      <c r="D18" s="22">
        <f>IF(24&gt;0,C18 / K18,0)</f>
        <v>0</v>
      </c>
      <c r="E18" s="9">
        <v>24</v>
      </c>
      <c r="F18" s="22">
        <f>IF(24&gt;0,E18 / K18,0)</f>
        <v>1</v>
      </c>
      <c r="G18" s="9">
        <v>0</v>
      </c>
      <c r="H18" s="22">
        <f>IF(24&gt;0,G18 / K18,0)</f>
        <v>0</v>
      </c>
      <c r="I18" s="9">
        <v>0</v>
      </c>
      <c r="J18" s="22">
        <f>IF(24&gt;0,I18 / K18,0)</f>
        <v>0</v>
      </c>
      <c r="K18" s="9">
        <f t="shared" si="0"/>
        <v>24</v>
      </c>
      <c r="L18" s="36"/>
    </row>
    <row r="19" spans="2:12" x14ac:dyDescent="0.3">
      <c r="B19" s="9" t="s">
        <v>50</v>
      </c>
      <c r="C19" s="9">
        <v>6</v>
      </c>
      <c r="D19" s="22">
        <f>IF(1852&gt;0,C19 / K19,0)</f>
        <v>3.2397408207343412E-3</v>
      </c>
      <c r="E19" s="9">
        <v>1774</v>
      </c>
      <c r="F19" s="22">
        <f>IF(1852&gt;0,E19 / K19,0)</f>
        <v>0.95788336933045359</v>
      </c>
      <c r="G19" s="9">
        <v>72</v>
      </c>
      <c r="H19" s="22">
        <f>IF(1852&gt;0,G19 / K19,0)</f>
        <v>3.8876889848812095E-2</v>
      </c>
      <c r="I19" s="9">
        <v>0</v>
      </c>
      <c r="J19" s="22">
        <f>IF(1852&gt;0,I19 / K19,0)</f>
        <v>0</v>
      </c>
      <c r="K19" s="9">
        <f t="shared" si="0"/>
        <v>1852</v>
      </c>
      <c r="L19" s="36"/>
    </row>
    <row r="20" spans="2:12" x14ac:dyDescent="0.3">
      <c r="B20" s="9" t="s">
        <v>51</v>
      </c>
      <c r="C20" s="9">
        <v>1540</v>
      </c>
      <c r="D20" s="22">
        <f>IF(11151&gt;0,C20 / K20,0)</f>
        <v>0.13810420590081607</v>
      </c>
      <c r="E20" s="9">
        <v>6199</v>
      </c>
      <c r="F20" s="22">
        <f>IF(11151&gt;0,E20 / K20,0)</f>
        <v>0.55591426777867459</v>
      </c>
      <c r="G20" s="9">
        <v>2264</v>
      </c>
      <c r="H20" s="22">
        <f>IF(11151&gt;0,G20 / K20,0)</f>
        <v>0.20303111828535558</v>
      </c>
      <c r="I20" s="9">
        <v>1148</v>
      </c>
      <c r="J20" s="22">
        <f>IF(11151&gt;0,I20 / K20,0)</f>
        <v>0.1029504080351538</v>
      </c>
      <c r="K20" s="9">
        <f t="shared" si="0"/>
        <v>11151</v>
      </c>
      <c r="L20" s="36"/>
    </row>
    <row r="21" spans="2:12" x14ac:dyDescent="0.3">
      <c r="B21" s="9" t="s">
        <v>52</v>
      </c>
      <c r="C21" s="9">
        <v>50</v>
      </c>
      <c r="D21" s="22">
        <f>IF(201&gt;0,C21 / K21,0)</f>
        <v>0.24875621890547264</v>
      </c>
      <c r="E21" s="9">
        <v>121</v>
      </c>
      <c r="F21" s="22">
        <f>IF(201&gt;0,E21 / K21,0)</f>
        <v>0.60199004975124382</v>
      </c>
      <c r="G21" s="9">
        <v>30</v>
      </c>
      <c r="H21" s="22">
        <f>IF(201&gt;0,G21 / K21,0)</f>
        <v>0.14925373134328357</v>
      </c>
      <c r="I21" s="9">
        <v>0</v>
      </c>
      <c r="J21" s="22">
        <f>IF(201&gt;0,I21 / K21,0)</f>
        <v>0</v>
      </c>
      <c r="K21" s="9">
        <f t="shared" si="0"/>
        <v>201</v>
      </c>
      <c r="L21" s="36"/>
    </row>
    <row r="22" spans="2:12" x14ac:dyDescent="0.3">
      <c r="B22" s="9" t="s">
        <v>53</v>
      </c>
      <c r="C22" s="9">
        <v>74</v>
      </c>
      <c r="D22" s="22">
        <f>IF(2832&gt;0,C22 / K22,0)</f>
        <v>2.6129943502824857E-2</v>
      </c>
      <c r="E22" s="9">
        <v>1998</v>
      </c>
      <c r="F22" s="22">
        <f>IF(2832&gt;0,E22 / K22,0)</f>
        <v>0.70550847457627119</v>
      </c>
      <c r="G22" s="9">
        <v>733</v>
      </c>
      <c r="H22" s="22">
        <f>IF(2832&gt;0,G22 / K22,0)</f>
        <v>0.2588276836158192</v>
      </c>
      <c r="I22" s="9">
        <v>27</v>
      </c>
      <c r="J22" s="22">
        <f>IF(2832&gt;0,I22 / K22,0)</f>
        <v>9.5338983050847464E-3</v>
      </c>
      <c r="K22" s="9">
        <f t="shared" si="0"/>
        <v>2832</v>
      </c>
      <c r="L22" s="36"/>
    </row>
    <row r="23" spans="2:12" x14ac:dyDescent="0.3">
      <c r="B23" s="9" t="s">
        <v>54</v>
      </c>
      <c r="C23" s="9">
        <v>0</v>
      </c>
      <c r="D23" s="22">
        <f>IF(6067&gt;0,C23 / K23,0)</f>
        <v>0</v>
      </c>
      <c r="E23" s="9">
        <v>5788</v>
      </c>
      <c r="F23" s="22">
        <f>IF(6067&gt;0,E23 / K23,0)</f>
        <v>0.95401351574089333</v>
      </c>
      <c r="G23" s="9">
        <v>274</v>
      </c>
      <c r="H23" s="22">
        <f>IF(6067&gt;0,G23 / K23,0)</f>
        <v>4.5162353716828744E-2</v>
      </c>
      <c r="I23" s="9">
        <v>5</v>
      </c>
      <c r="J23" s="22">
        <f>IF(6067&gt;0,I23 / K23,0)</f>
        <v>8.2413054227789681E-4</v>
      </c>
      <c r="K23" s="9">
        <f t="shared" si="0"/>
        <v>6067</v>
      </c>
      <c r="L23" s="36"/>
    </row>
    <row r="24" spans="2:12" x14ac:dyDescent="0.3">
      <c r="B24" s="9" t="s">
        <v>55</v>
      </c>
      <c r="C24" s="9">
        <v>0</v>
      </c>
      <c r="D24" s="22">
        <f>IF(4&gt;0,C24 / K24,0)</f>
        <v>0</v>
      </c>
      <c r="E24" s="9">
        <v>4</v>
      </c>
      <c r="F24" s="22">
        <f>IF(4&gt;0,E24 / K24,0)</f>
        <v>1</v>
      </c>
      <c r="G24" s="9">
        <v>0</v>
      </c>
      <c r="H24" s="22">
        <f>IF(4&gt;0,G24 / K24,0)</f>
        <v>0</v>
      </c>
      <c r="I24" s="9">
        <v>0</v>
      </c>
      <c r="J24" s="22">
        <f>IF(4&gt;0,I24 / K24,0)</f>
        <v>0</v>
      </c>
      <c r="K24" s="9">
        <f t="shared" si="0"/>
        <v>4</v>
      </c>
      <c r="L24" s="36"/>
    </row>
    <row r="25" spans="2:12" x14ac:dyDescent="0.3">
      <c r="B25" s="9" t="s">
        <v>209</v>
      </c>
      <c r="C25" s="9">
        <v>0</v>
      </c>
      <c r="D25" s="22">
        <f>IF(83&gt;0,C25 / K25,0)</f>
        <v>0</v>
      </c>
      <c r="E25" s="9">
        <v>8</v>
      </c>
      <c r="F25" s="22">
        <f>IF(83&gt;0,E25 / K25,0)</f>
        <v>9.6385542168674704E-2</v>
      </c>
      <c r="G25" s="9">
        <v>75</v>
      </c>
      <c r="H25" s="22">
        <f>IF(83&gt;0,G25 / K25,0)</f>
        <v>0.90361445783132532</v>
      </c>
      <c r="I25" s="9">
        <v>0</v>
      </c>
      <c r="J25" s="22">
        <f>IF(83&gt;0,I25 / K25,0)</f>
        <v>0</v>
      </c>
      <c r="K25" s="9">
        <f t="shared" si="0"/>
        <v>83</v>
      </c>
      <c r="L25" s="36"/>
    </row>
    <row r="26" spans="2:12" x14ac:dyDescent="0.3">
      <c r="B26" s="9" t="s">
        <v>56</v>
      </c>
      <c r="C26" s="9">
        <v>0</v>
      </c>
      <c r="D26" s="22">
        <f>IF(1722&gt;0,C26 / K26,0)</f>
        <v>0</v>
      </c>
      <c r="E26" s="9">
        <v>212</v>
      </c>
      <c r="F26" s="22">
        <f>IF(1722&gt;0,E26 / K26,0)</f>
        <v>0.12311265969802555</v>
      </c>
      <c r="G26" s="9">
        <v>1510</v>
      </c>
      <c r="H26" s="22">
        <f>IF(1722&gt;0,G26 / K26,0)</f>
        <v>0.87688734030197446</v>
      </c>
      <c r="I26" s="9">
        <v>0</v>
      </c>
      <c r="J26" s="22">
        <f>IF(1722&gt;0,I26 / K26,0)</f>
        <v>0</v>
      </c>
      <c r="K26" s="9">
        <f t="shared" si="0"/>
        <v>1722</v>
      </c>
      <c r="L26" s="36"/>
    </row>
    <row r="27" spans="2:12" x14ac:dyDescent="0.3">
      <c r="B27" s="9" t="s">
        <v>57</v>
      </c>
      <c r="C27" s="9">
        <v>0</v>
      </c>
      <c r="D27" s="22">
        <f>IF(62&gt;0,C27 / K27,0)</f>
        <v>0</v>
      </c>
      <c r="E27" s="9">
        <v>32</v>
      </c>
      <c r="F27" s="22">
        <f>IF(62&gt;0,E27 / K27,0)</f>
        <v>0.5161290322580645</v>
      </c>
      <c r="G27" s="9">
        <v>30</v>
      </c>
      <c r="H27" s="22">
        <f>IF(62&gt;0,G27 / K27,0)</f>
        <v>0.4838709677419355</v>
      </c>
      <c r="I27" s="9">
        <v>0</v>
      </c>
      <c r="J27" s="22">
        <f>IF(62&gt;0,I27 / K27,0)</f>
        <v>0</v>
      </c>
      <c r="K27" s="9">
        <f t="shared" si="0"/>
        <v>62</v>
      </c>
      <c r="L27" s="36"/>
    </row>
    <row r="28" spans="2:12" x14ac:dyDescent="0.3">
      <c r="B28" s="9" t="s">
        <v>210</v>
      </c>
      <c r="C28" s="9">
        <v>0</v>
      </c>
      <c r="D28" s="22">
        <f>IF(4&gt;0,C28 / K28,0)</f>
        <v>0</v>
      </c>
      <c r="E28" s="9">
        <v>4</v>
      </c>
      <c r="F28" s="22">
        <f>IF(4&gt;0,E28 / K28,0)</f>
        <v>1</v>
      </c>
      <c r="G28" s="9">
        <v>0</v>
      </c>
      <c r="H28" s="22">
        <f>IF(4&gt;0,G28 / K28,0)</f>
        <v>0</v>
      </c>
      <c r="I28" s="9">
        <v>0</v>
      </c>
      <c r="J28" s="22">
        <f>IF(4&gt;0,I28 / K28,0)</f>
        <v>0</v>
      </c>
      <c r="K28" s="9">
        <f t="shared" si="0"/>
        <v>4</v>
      </c>
      <c r="L28" s="36"/>
    </row>
    <row r="29" spans="2:12" x14ac:dyDescent="0.3">
      <c r="B29" s="9" t="s">
        <v>58</v>
      </c>
      <c r="C29" s="9">
        <v>0</v>
      </c>
      <c r="D29" s="22">
        <f>IF(6&gt;0,C29 / K29,0)</f>
        <v>0</v>
      </c>
      <c r="E29" s="9">
        <v>0</v>
      </c>
      <c r="F29" s="22">
        <f>IF(6&gt;0,E29 / K29,0)</f>
        <v>0</v>
      </c>
      <c r="G29" s="9">
        <v>2</v>
      </c>
      <c r="H29" s="22">
        <f>IF(6&gt;0,G29 / K29,0)</f>
        <v>0.33333333333333331</v>
      </c>
      <c r="I29" s="9">
        <v>4</v>
      </c>
      <c r="J29" s="22">
        <f>IF(6&gt;0,I29 / K29,0)</f>
        <v>0.66666666666666663</v>
      </c>
      <c r="K29" s="9">
        <f t="shared" si="0"/>
        <v>6</v>
      </c>
      <c r="L29" s="36"/>
    </row>
    <row r="30" spans="2:12" x14ac:dyDescent="0.3">
      <c r="B30" s="9" t="s">
        <v>211</v>
      </c>
      <c r="C30" s="9">
        <v>0</v>
      </c>
      <c r="D30" s="22">
        <f>IF(3&gt;0,C30 / K30,0)</f>
        <v>0</v>
      </c>
      <c r="E30" s="9">
        <v>0</v>
      </c>
      <c r="F30" s="22">
        <f>IF(3&gt;0,E30 / K30,0)</f>
        <v>0</v>
      </c>
      <c r="G30" s="9">
        <v>2</v>
      </c>
      <c r="H30" s="22">
        <f>IF(3&gt;0,G30 / K30,0)</f>
        <v>0.66666666666666663</v>
      </c>
      <c r="I30" s="9">
        <v>1</v>
      </c>
      <c r="J30" s="22">
        <f>IF(3&gt;0,I30 / K30,0)</f>
        <v>0.33333333333333331</v>
      </c>
      <c r="K30" s="9">
        <f t="shared" si="0"/>
        <v>3</v>
      </c>
      <c r="L30" s="36"/>
    </row>
    <row r="31" spans="2:12" x14ac:dyDescent="0.3">
      <c r="B31" s="9" t="s">
        <v>212</v>
      </c>
      <c r="C31" s="9">
        <v>0</v>
      </c>
      <c r="D31" s="22">
        <f>IF(2&gt;0,C31 / K31,0)</f>
        <v>0</v>
      </c>
      <c r="E31" s="9">
        <v>2</v>
      </c>
      <c r="F31" s="22">
        <f>IF(2&gt;0,E31 / K31,0)</f>
        <v>1</v>
      </c>
      <c r="G31" s="9">
        <v>0</v>
      </c>
      <c r="H31" s="22">
        <f>IF(2&gt;0,G31 / K31,0)</f>
        <v>0</v>
      </c>
      <c r="I31" s="9">
        <v>0</v>
      </c>
      <c r="J31" s="22">
        <f>IF(2&gt;0,I31 / K31,0)</f>
        <v>0</v>
      </c>
      <c r="K31" s="9">
        <f t="shared" si="0"/>
        <v>2</v>
      </c>
      <c r="L31" s="36"/>
    </row>
    <row r="32" spans="2:12" x14ac:dyDescent="0.3">
      <c r="B32" s="9" t="s">
        <v>213</v>
      </c>
      <c r="C32" s="9">
        <v>0</v>
      </c>
      <c r="D32" s="22">
        <f>IF(0&gt;0,C32 / K32,0)</f>
        <v>0</v>
      </c>
      <c r="E32" s="9">
        <v>0</v>
      </c>
      <c r="F32" s="22">
        <f>IF(0&gt;0,E32 / K32,0)</f>
        <v>0</v>
      </c>
      <c r="G32" s="9">
        <v>0</v>
      </c>
      <c r="H32" s="22">
        <f>IF(0&gt;0,G32 / K32,0)</f>
        <v>0</v>
      </c>
      <c r="I32" s="9">
        <v>0</v>
      </c>
      <c r="J32" s="22">
        <f>IF(0&gt;0,I32 / K32,0)</f>
        <v>0</v>
      </c>
      <c r="K32" s="9">
        <f t="shared" si="0"/>
        <v>0</v>
      </c>
      <c r="L32" s="36"/>
    </row>
    <row r="33" spans="2:12" x14ac:dyDescent="0.3">
      <c r="B33" s="9" t="s">
        <v>59</v>
      </c>
      <c r="C33" s="9">
        <v>0</v>
      </c>
      <c r="D33" s="22">
        <f>IF(0&gt;0,C33 / K33,0)</f>
        <v>0</v>
      </c>
      <c r="E33" s="9">
        <v>0</v>
      </c>
      <c r="F33" s="22">
        <f>IF(0&gt;0,E33 / K33,0)</f>
        <v>0</v>
      </c>
      <c r="G33" s="9">
        <v>0</v>
      </c>
      <c r="H33" s="22">
        <f>IF(0&gt;0,G33 / K33,0)</f>
        <v>0</v>
      </c>
      <c r="I33" s="9">
        <v>0</v>
      </c>
      <c r="J33" s="22">
        <f>IF(0&gt;0,I33 / K33,0)</f>
        <v>0</v>
      </c>
      <c r="K33" s="9">
        <f t="shared" si="0"/>
        <v>0</v>
      </c>
      <c r="L33" s="36"/>
    </row>
    <row r="34" spans="2:12" x14ac:dyDescent="0.3">
      <c r="B34" s="9" t="s">
        <v>214</v>
      </c>
      <c r="C34" s="9">
        <v>15</v>
      </c>
      <c r="D34" s="22">
        <f>IF(2063&gt;0,C34 / K34,0)</f>
        <v>7.2709646146388758E-3</v>
      </c>
      <c r="E34" s="9">
        <v>1821</v>
      </c>
      <c r="F34" s="22">
        <f>IF(2063&gt;0,E34 / K34,0)</f>
        <v>0.88269510421715947</v>
      </c>
      <c r="G34" s="9">
        <v>214</v>
      </c>
      <c r="H34" s="22">
        <f>IF(2063&gt;0,G34 / K34,0)</f>
        <v>0.10373242850218128</v>
      </c>
      <c r="I34" s="9">
        <v>13</v>
      </c>
      <c r="J34" s="22">
        <f>IF(2063&gt;0,I34 / K34,0)</f>
        <v>6.3015026660203583E-3</v>
      </c>
      <c r="K34" s="9">
        <f t="shared" si="0"/>
        <v>2063</v>
      </c>
      <c r="L34" s="36"/>
    </row>
    <row r="35" spans="2:12" x14ac:dyDescent="0.3">
      <c r="B35" s="9" t="s">
        <v>60</v>
      </c>
      <c r="C35" s="9">
        <v>309</v>
      </c>
      <c r="D35" s="22">
        <f>IF(18721&gt;0,C35 / K35,0)</f>
        <v>1.6505528550825276E-2</v>
      </c>
      <c r="E35" s="9">
        <v>12443</v>
      </c>
      <c r="F35" s="22">
        <f>IF(18721&gt;0,E35 / K35,0)</f>
        <v>0.66465466588323274</v>
      </c>
      <c r="G35" s="9">
        <v>5335</v>
      </c>
      <c r="H35" s="22">
        <f>IF(18721&gt;0,G35 / K35,0)</f>
        <v>0.28497409326424872</v>
      </c>
      <c r="I35" s="9">
        <v>634</v>
      </c>
      <c r="J35" s="22">
        <f>IF(18721&gt;0,I35 / K35,0)</f>
        <v>3.3865712301693288E-2</v>
      </c>
      <c r="K35" s="9">
        <f t="shared" si="0"/>
        <v>18721</v>
      </c>
      <c r="L35" s="36"/>
    </row>
    <row r="36" spans="2:12" x14ac:dyDescent="0.3">
      <c r="B36" s="9" t="s">
        <v>61</v>
      </c>
      <c r="C36" s="9">
        <v>0</v>
      </c>
      <c r="D36" s="22">
        <f>IF(80&gt;0,C36 / K36,0)</f>
        <v>0</v>
      </c>
      <c r="E36" s="9">
        <v>80</v>
      </c>
      <c r="F36" s="22">
        <f>IF(80&gt;0,E36 / K36,0)</f>
        <v>1</v>
      </c>
      <c r="G36" s="9">
        <v>0</v>
      </c>
      <c r="H36" s="22">
        <f>IF(80&gt;0,G36 / K36,0)</f>
        <v>0</v>
      </c>
      <c r="I36" s="9">
        <v>0</v>
      </c>
      <c r="J36" s="22">
        <f>IF(80&gt;0,I36 / K36,0)</f>
        <v>0</v>
      </c>
      <c r="K36" s="9">
        <f t="shared" si="0"/>
        <v>80</v>
      </c>
      <c r="L36" s="36"/>
    </row>
    <row r="37" spans="2:12" x14ac:dyDescent="0.3">
      <c r="B37" s="9" t="s">
        <v>78</v>
      </c>
      <c r="C37" s="9">
        <v>107</v>
      </c>
      <c r="D37" s="22">
        <f>IF(7944&gt;0,C37 / K37,0)</f>
        <v>1.3469284994964753E-2</v>
      </c>
      <c r="E37" s="9">
        <v>6946</v>
      </c>
      <c r="F37" s="22">
        <f>IF(7944&gt;0,E37 / K37,0)</f>
        <v>0.87437059415911378</v>
      </c>
      <c r="G37" s="9">
        <v>768</v>
      </c>
      <c r="H37" s="22">
        <f>IF(7944&gt;0,G37 / K37,0)</f>
        <v>9.6676737160120846E-2</v>
      </c>
      <c r="I37" s="9">
        <v>123</v>
      </c>
      <c r="J37" s="22">
        <f>IF(7944&gt;0,I37 / K37,0)</f>
        <v>1.5483383685800604E-2</v>
      </c>
      <c r="K37" s="9">
        <f t="shared" si="0"/>
        <v>7944</v>
      </c>
      <c r="L37" s="36"/>
    </row>
    <row r="38" spans="2:12" x14ac:dyDescent="0.3">
      <c r="B38" s="9" t="s">
        <v>62</v>
      </c>
      <c r="C38" s="9">
        <v>0</v>
      </c>
      <c r="D38" s="22">
        <f>IF(272&gt;0,C38 / K38,0)</f>
        <v>0</v>
      </c>
      <c r="E38" s="9">
        <v>184</v>
      </c>
      <c r="F38" s="22">
        <f>IF(272&gt;0,E38 / K38,0)</f>
        <v>0.67647058823529416</v>
      </c>
      <c r="G38" s="9">
        <v>88</v>
      </c>
      <c r="H38" s="22">
        <f>IF(272&gt;0,G38 / K38,0)</f>
        <v>0.3235294117647059</v>
      </c>
      <c r="I38" s="9">
        <v>0</v>
      </c>
      <c r="J38" s="22">
        <f>IF(272&gt;0,I38 / K38,0)</f>
        <v>0</v>
      </c>
      <c r="K38" s="9">
        <f t="shared" si="0"/>
        <v>272</v>
      </c>
      <c r="L38" s="36"/>
    </row>
    <row r="39" spans="2:12" x14ac:dyDescent="0.3">
      <c r="B39" s="9" t="s">
        <v>314</v>
      </c>
      <c r="C39" s="9">
        <v>864</v>
      </c>
      <c r="D39" s="22">
        <f>IF(2632&gt;0,C39 / K39,0)</f>
        <v>0.32826747720364741</v>
      </c>
      <c r="E39" s="9">
        <v>1763</v>
      </c>
      <c r="F39" s="22">
        <f>IF(2632&gt;0,E39 / K39,0)</f>
        <v>0.66983282674772038</v>
      </c>
      <c r="G39" s="9">
        <v>5</v>
      </c>
      <c r="H39" s="22">
        <f>IF(2632&gt;0,G39 / K39,0)</f>
        <v>1.8996960486322189E-3</v>
      </c>
      <c r="I39" s="9">
        <v>0</v>
      </c>
      <c r="J39" s="22">
        <f>IF(2632&gt;0,I39 / K39,0)</f>
        <v>0</v>
      </c>
      <c r="K39" s="9">
        <f t="shared" si="0"/>
        <v>2632</v>
      </c>
      <c r="L39" s="36"/>
    </row>
    <row r="40" spans="2:12" x14ac:dyDescent="0.3">
      <c r="B40" s="9" t="s">
        <v>79</v>
      </c>
      <c r="C40" s="9">
        <v>312</v>
      </c>
      <c r="D40" s="22">
        <f>IF(9120&gt;0,C40 / K40,0)</f>
        <v>3.4210526315789476E-2</v>
      </c>
      <c r="E40" s="9">
        <v>6603</v>
      </c>
      <c r="F40" s="22">
        <f>IF(9120&gt;0,E40 / K40,0)</f>
        <v>0.72401315789473686</v>
      </c>
      <c r="G40" s="9">
        <v>717</v>
      </c>
      <c r="H40" s="22">
        <f>IF(9120&gt;0,G40 / K40,0)</f>
        <v>7.8618421052631574E-2</v>
      </c>
      <c r="I40" s="9">
        <v>1488</v>
      </c>
      <c r="J40" s="22">
        <f>IF(9120&gt;0,I40 / K40,0)</f>
        <v>0.16315789473684211</v>
      </c>
      <c r="K40" s="9">
        <f t="shared" si="0"/>
        <v>9120</v>
      </c>
      <c r="L40" s="36"/>
    </row>
    <row r="41" spans="2:12" x14ac:dyDescent="0.3">
      <c r="B41" s="9" t="s">
        <v>215</v>
      </c>
      <c r="C41" s="9">
        <v>97</v>
      </c>
      <c r="D41" s="22">
        <f>IF(3635&gt;0,C41 / K41,0)</f>
        <v>2.6685006877579093E-2</v>
      </c>
      <c r="E41" s="9">
        <v>2992</v>
      </c>
      <c r="F41" s="22">
        <f>IF(3635&gt;0,E41 / K41,0)</f>
        <v>0.82310866574965613</v>
      </c>
      <c r="G41" s="9">
        <v>546</v>
      </c>
      <c r="H41" s="22">
        <f>IF(3635&gt;0,G41 / K41,0)</f>
        <v>0.15020632737276479</v>
      </c>
      <c r="I41" s="9">
        <v>0</v>
      </c>
      <c r="J41" s="22">
        <f>IF(3635&gt;0,I41 / K41,0)</f>
        <v>0</v>
      </c>
      <c r="K41" s="9">
        <f t="shared" si="0"/>
        <v>3635</v>
      </c>
      <c r="L41" s="36"/>
    </row>
    <row r="42" spans="2:12" x14ac:dyDescent="0.3">
      <c r="B42" s="9" t="s">
        <v>63</v>
      </c>
      <c r="C42" s="9">
        <v>3250</v>
      </c>
      <c r="D42" s="22">
        <f>IF(158382&gt;0,C42 / K42,0)</f>
        <v>2.0520008586834362E-2</v>
      </c>
      <c r="E42" s="9">
        <v>138861</v>
      </c>
      <c r="F42" s="22">
        <f>IF(158382&gt;0,E42 / K42,0)</f>
        <v>0.87674735765427891</v>
      </c>
      <c r="G42" s="9">
        <v>11267</v>
      </c>
      <c r="H42" s="22">
        <f>IF(158382&gt;0,G42 / K42,0)</f>
        <v>7.1138134383957774E-2</v>
      </c>
      <c r="I42" s="9">
        <v>5004</v>
      </c>
      <c r="J42" s="22">
        <f>IF(158382&gt;0,I42 / K42,0)</f>
        <v>3.1594499374928968E-2</v>
      </c>
      <c r="K42" s="9">
        <f t="shared" si="0"/>
        <v>158382</v>
      </c>
      <c r="L42" s="36"/>
    </row>
    <row r="43" spans="2:12" x14ac:dyDescent="0.3">
      <c r="B43" s="9" t="s">
        <v>216</v>
      </c>
      <c r="C43" s="9">
        <v>0</v>
      </c>
      <c r="D43" s="22">
        <f>IF(954&gt;0,C43 / K43,0)</f>
        <v>0</v>
      </c>
      <c r="E43" s="9">
        <v>907</v>
      </c>
      <c r="F43" s="22">
        <f>IF(954&gt;0,E43 / K43,0)</f>
        <v>0.95073375262054505</v>
      </c>
      <c r="G43" s="9">
        <v>47</v>
      </c>
      <c r="H43" s="22">
        <f>IF(954&gt;0,G43 / K43,0)</f>
        <v>4.9266247379454925E-2</v>
      </c>
      <c r="I43" s="9">
        <v>0</v>
      </c>
      <c r="J43" s="22">
        <f>IF(954&gt;0,I43 / K43,0)</f>
        <v>0</v>
      </c>
      <c r="K43" s="9">
        <f t="shared" si="0"/>
        <v>954</v>
      </c>
      <c r="L43" s="36"/>
    </row>
    <row r="44" spans="2:12" x14ac:dyDescent="0.3">
      <c r="B44" s="9" t="s">
        <v>64</v>
      </c>
      <c r="C44" s="9">
        <v>232</v>
      </c>
      <c r="D44" s="22">
        <f>IF(24038&gt;0,C44 / K44,0)</f>
        <v>9.6513853065978861E-3</v>
      </c>
      <c r="E44" s="9">
        <v>18114</v>
      </c>
      <c r="F44" s="22">
        <f>IF(24038&gt;0,E44 / K44,0)</f>
        <v>0.75355686829187118</v>
      </c>
      <c r="G44" s="9">
        <v>4601</v>
      </c>
      <c r="H44" s="22">
        <f>IF(24038&gt;0,G44 / K44,0)</f>
        <v>0.19140527498127963</v>
      </c>
      <c r="I44" s="9">
        <v>1091</v>
      </c>
      <c r="J44" s="22">
        <f>IF(24038&gt;0,I44 / K44,0)</f>
        <v>4.5386471420251269E-2</v>
      </c>
      <c r="K44" s="9">
        <f t="shared" si="0"/>
        <v>24038</v>
      </c>
      <c r="L44" s="36"/>
    </row>
    <row r="45" spans="2:12" x14ac:dyDescent="0.3">
      <c r="B45" s="9" t="s">
        <v>65</v>
      </c>
      <c r="C45" s="9">
        <v>0</v>
      </c>
      <c r="D45" s="22">
        <f>IF(663&gt;0,C45 / K45,0)</f>
        <v>0</v>
      </c>
      <c r="E45" s="9">
        <v>663</v>
      </c>
      <c r="F45" s="22">
        <f>IF(663&gt;0,E45 / K45,0)</f>
        <v>1</v>
      </c>
      <c r="G45" s="9">
        <v>0</v>
      </c>
      <c r="H45" s="22">
        <f>IF(663&gt;0,G45 / K45,0)</f>
        <v>0</v>
      </c>
      <c r="I45" s="9">
        <v>0</v>
      </c>
      <c r="J45" s="22">
        <f>IF(663&gt;0,I45 / K45,0)</f>
        <v>0</v>
      </c>
      <c r="K45" s="9">
        <f t="shared" si="0"/>
        <v>663</v>
      </c>
      <c r="L45" s="36"/>
    </row>
    <row r="46" spans="2:12" x14ac:dyDescent="0.3">
      <c r="B46" s="9" t="s">
        <v>217</v>
      </c>
      <c r="C46" s="9">
        <v>1640</v>
      </c>
      <c r="D46" s="22">
        <f>IF(42057&gt;0,C46 / K46,0)</f>
        <v>3.8994697672206764E-2</v>
      </c>
      <c r="E46" s="9">
        <v>36216</v>
      </c>
      <c r="F46" s="22">
        <f>IF(42057&gt;0,E46 / K46,0)</f>
        <v>0.86111705542478068</v>
      </c>
      <c r="G46" s="9">
        <v>3531</v>
      </c>
      <c r="H46" s="22">
        <f>IF(42057&gt;0,G46 / K46,0)</f>
        <v>8.3957486268635417E-2</v>
      </c>
      <c r="I46" s="9">
        <v>670</v>
      </c>
      <c r="J46" s="22">
        <f>IF(42057&gt;0,I46 / K46,0)</f>
        <v>1.5930760634377154E-2</v>
      </c>
      <c r="K46" s="9">
        <f t="shared" si="0"/>
        <v>42057</v>
      </c>
      <c r="L46" s="36"/>
    </row>
    <row r="47" spans="2:12" ht="15" thickBot="1" x14ac:dyDescent="0.35">
      <c r="B47" s="28" t="s">
        <v>66</v>
      </c>
      <c r="C47" s="28">
        <v>10</v>
      </c>
      <c r="D47" s="39">
        <f>IF(57&gt;0,C47 / K47,0)</f>
        <v>0.17543859649122806</v>
      </c>
      <c r="E47" s="28">
        <v>39</v>
      </c>
      <c r="F47" s="39">
        <f>IF(57&gt;0,E47 / K47,0)</f>
        <v>0.68421052631578949</v>
      </c>
      <c r="G47" s="28">
        <v>8</v>
      </c>
      <c r="H47" s="39">
        <f>IF(57&gt;0,G47 / K47,0)</f>
        <v>0.14035087719298245</v>
      </c>
      <c r="I47" s="28">
        <v>0</v>
      </c>
      <c r="J47" s="39">
        <f>IF(57&gt;0,I47 / K47,0)</f>
        <v>0</v>
      </c>
      <c r="K47" s="28">
        <f t="shared" si="0"/>
        <v>57</v>
      </c>
      <c r="L47" s="36"/>
    </row>
    <row r="48" spans="2:12" x14ac:dyDescent="0.3">
      <c r="B48" s="27" t="s">
        <v>269</v>
      </c>
      <c r="C48" s="27">
        <f>SUM(C7:C47)</f>
        <v>119561</v>
      </c>
      <c r="D48" s="27"/>
      <c r="E48" s="27">
        <f>SUM(E7:E47)</f>
        <v>1175460</v>
      </c>
      <c r="F48" s="27"/>
      <c r="G48" s="27">
        <f>SUM(G7:G47)</f>
        <v>485003</v>
      </c>
      <c r="H48" s="27"/>
      <c r="I48" s="27">
        <f>SUM(I7:I47)</f>
        <v>79451</v>
      </c>
      <c r="J48" s="27"/>
      <c r="K48" s="27">
        <f>SUM(K7:K47)</f>
        <v>1859475</v>
      </c>
    </row>
    <row r="49" spans="2:12" x14ac:dyDescent="0.3">
      <c r="B49" s="38" t="s">
        <v>226</v>
      </c>
      <c r="C49" s="23">
        <f>C48 / K48</f>
        <v>6.4298256228236469E-2</v>
      </c>
      <c r="D49" s="8"/>
      <c r="E49" s="23">
        <f>E48 / K48</f>
        <v>0.6321461702900012</v>
      </c>
      <c r="F49" s="8"/>
      <c r="G49" s="23">
        <f>G48 / K48</f>
        <v>0.26082792185966469</v>
      </c>
      <c r="H49" s="8"/>
      <c r="I49" s="23">
        <f>I48 / K48</f>
        <v>4.2727651622097636E-2</v>
      </c>
      <c r="J49" s="8"/>
      <c r="K49" s="23">
        <f>K48 / K48</f>
        <v>1</v>
      </c>
    </row>
    <row r="50" spans="2:12" x14ac:dyDescent="0.3">
      <c r="B50" s="40"/>
      <c r="C50" s="41"/>
      <c r="D50" s="15"/>
      <c r="E50" s="41"/>
      <c r="F50" s="15"/>
      <c r="G50" s="41"/>
      <c r="H50" s="15"/>
      <c r="I50" s="41"/>
      <c r="J50" s="15"/>
      <c r="K50" s="41"/>
    </row>
    <row r="52" spans="2:12" ht="15.6" x14ac:dyDescent="0.3">
      <c r="B52" s="50" t="s">
        <v>271</v>
      </c>
      <c r="C52" s="51"/>
      <c r="D52" s="51"/>
      <c r="E52" s="51"/>
      <c r="F52" s="51"/>
      <c r="G52" s="51"/>
      <c r="H52" s="51"/>
      <c r="I52" s="51"/>
    </row>
    <row r="54" spans="2:12" x14ac:dyDescent="0.3">
      <c r="B54" s="11" t="s">
        <v>266</v>
      </c>
      <c r="C54" s="12"/>
      <c r="D54" s="12"/>
      <c r="E54" s="12"/>
      <c r="F54" s="12"/>
      <c r="G54" s="12"/>
      <c r="H54" s="12"/>
      <c r="I54" s="12"/>
    </row>
    <row r="55" spans="2:12" x14ac:dyDescent="0.3">
      <c r="B55" s="12"/>
      <c r="C55" s="12"/>
      <c r="D55" s="12"/>
      <c r="E55" s="12"/>
      <c r="F55" s="12"/>
      <c r="G55" s="12"/>
      <c r="H55" s="12"/>
      <c r="I55" s="12"/>
    </row>
    <row r="56" spans="2:12" s="6" customFormat="1" ht="75" customHeight="1" x14ac:dyDescent="0.3">
      <c r="B56" s="20" t="s">
        <v>1</v>
      </c>
      <c r="C56" s="20" t="s">
        <v>143</v>
      </c>
      <c r="D56" s="20"/>
      <c r="E56" s="20" t="s">
        <v>171</v>
      </c>
      <c r="F56" s="20"/>
      <c r="G56" s="20" t="s">
        <v>172</v>
      </c>
      <c r="H56" s="20"/>
      <c r="I56" s="21" t="s">
        <v>224</v>
      </c>
      <c r="L56" s="37"/>
    </row>
    <row r="57" spans="2:12" x14ac:dyDescent="0.3">
      <c r="B57" s="9" t="s">
        <v>41</v>
      </c>
      <c r="C57" s="9">
        <v>528263</v>
      </c>
      <c r="D57" s="22">
        <f>IF(1342779&gt;0,C57 / I57,0)</f>
        <v>0.39341023355295252</v>
      </c>
      <c r="E57" s="9">
        <v>629953</v>
      </c>
      <c r="F57" s="22">
        <f>IF(1342779&gt;0,E57 / I57,0)</f>
        <v>0.46914123619746811</v>
      </c>
      <c r="G57" s="9">
        <v>184563</v>
      </c>
      <c r="H57" s="22">
        <f>IF(1342779&gt;0,G57 / I57,0)</f>
        <v>0.13744853024957943</v>
      </c>
      <c r="I57" s="9">
        <f t="shared" ref="I57:I97" si="1">C57+E57+G57</f>
        <v>1342779</v>
      </c>
      <c r="J57" s="3"/>
    </row>
    <row r="58" spans="2:12" x14ac:dyDescent="0.3">
      <c r="B58" s="9" t="s">
        <v>76</v>
      </c>
      <c r="C58" s="9">
        <v>127835</v>
      </c>
      <c r="D58" s="22">
        <f>IF(135022&gt;0,C58 / I58,0)</f>
        <v>0.94677163721467616</v>
      </c>
      <c r="E58" s="9">
        <v>4833</v>
      </c>
      <c r="F58" s="22">
        <f>IF(135022&gt;0,E58 / I58,0)</f>
        <v>3.5794166876509013E-2</v>
      </c>
      <c r="G58" s="9">
        <v>2354</v>
      </c>
      <c r="H58" s="22">
        <f>IF(135022&gt;0,G58 / I58,0)</f>
        <v>1.743419590881486E-2</v>
      </c>
      <c r="I58" s="9">
        <f t="shared" si="1"/>
        <v>135022</v>
      </c>
      <c r="J58" s="3"/>
    </row>
    <row r="59" spans="2:12" x14ac:dyDescent="0.3">
      <c r="B59" s="9" t="s">
        <v>42</v>
      </c>
      <c r="C59" s="9">
        <v>8731</v>
      </c>
      <c r="D59" s="22">
        <f>IF(8731&gt;0,C59 / I59,0)</f>
        <v>1</v>
      </c>
      <c r="E59" s="9">
        <v>0</v>
      </c>
      <c r="F59" s="22">
        <f>IF(8731&gt;0,E59 / I59,0)</f>
        <v>0</v>
      </c>
      <c r="G59" s="9">
        <v>0</v>
      </c>
      <c r="H59" s="22">
        <f>IF(8731&gt;0,G59 / I59,0)</f>
        <v>0</v>
      </c>
      <c r="I59" s="9">
        <f t="shared" si="1"/>
        <v>8731</v>
      </c>
      <c r="J59" s="3"/>
    </row>
    <row r="60" spans="2:12" x14ac:dyDescent="0.3">
      <c r="B60" s="9" t="s">
        <v>43</v>
      </c>
      <c r="C60" s="9">
        <v>2849</v>
      </c>
      <c r="D60" s="22">
        <f>IF(2849&gt;0,C60 / I60,0)</f>
        <v>1</v>
      </c>
      <c r="E60" s="9">
        <v>0</v>
      </c>
      <c r="F60" s="22">
        <f>IF(2849&gt;0,E60 / I60,0)</f>
        <v>0</v>
      </c>
      <c r="G60" s="9">
        <v>0</v>
      </c>
      <c r="H60" s="22">
        <f>IF(2849&gt;0,G60 / I60,0)</f>
        <v>0</v>
      </c>
      <c r="I60" s="9">
        <f t="shared" si="1"/>
        <v>2849</v>
      </c>
      <c r="J60" s="3"/>
    </row>
    <row r="61" spans="2:12" x14ac:dyDescent="0.3">
      <c r="B61" s="9" t="s">
        <v>44</v>
      </c>
      <c r="C61" s="9">
        <v>0</v>
      </c>
      <c r="D61" s="22">
        <f>IF(0&gt;0,C61 / I61,0)</f>
        <v>0</v>
      </c>
      <c r="E61" s="9">
        <v>0</v>
      </c>
      <c r="F61" s="22">
        <f>IF(0&gt;0,E61 / I61,0)</f>
        <v>0</v>
      </c>
      <c r="G61" s="9">
        <v>0</v>
      </c>
      <c r="H61" s="22">
        <f>IF(0&gt;0,G61 / I61,0)</f>
        <v>0</v>
      </c>
      <c r="I61" s="9">
        <f t="shared" si="1"/>
        <v>0</v>
      </c>
      <c r="J61" s="3"/>
    </row>
    <row r="62" spans="2:12" x14ac:dyDescent="0.3">
      <c r="B62" s="9" t="s">
        <v>45</v>
      </c>
      <c r="C62" s="9">
        <v>2971</v>
      </c>
      <c r="D62" s="22">
        <f>IF(2971&gt;0,C62 / I62,0)</f>
        <v>1</v>
      </c>
      <c r="E62" s="9">
        <v>0</v>
      </c>
      <c r="F62" s="22">
        <f>IF(2971&gt;0,E62 / I62,0)</f>
        <v>0</v>
      </c>
      <c r="G62" s="9">
        <v>0</v>
      </c>
      <c r="H62" s="22">
        <f>IF(2971&gt;0,G62 / I62,0)</f>
        <v>0</v>
      </c>
      <c r="I62" s="9">
        <f t="shared" si="1"/>
        <v>2971</v>
      </c>
      <c r="J62" s="3"/>
    </row>
    <row r="63" spans="2:12" x14ac:dyDescent="0.3">
      <c r="B63" s="9" t="s">
        <v>207</v>
      </c>
      <c r="C63" s="9">
        <v>6075</v>
      </c>
      <c r="D63" s="22">
        <f>IF(6075&gt;0,C63 / I63,0)</f>
        <v>1</v>
      </c>
      <c r="E63" s="9">
        <v>0</v>
      </c>
      <c r="F63" s="22">
        <f>IF(6075&gt;0,E63 / I63,0)</f>
        <v>0</v>
      </c>
      <c r="G63" s="9">
        <v>0</v>
      </c>
      <c r="H63" s="22">
        <f>IF(6075&gt;0,G63 / I63,0)</f>
        <v>0</v>
      </c>
      <c r="I63" s="9">
        <f t="shared" si="1"/>
        <v>6075</v>
      </c>
      <c r="J63" s="3"/>
    </row>
    <row r="64" spans="2:12" x14ac:dyDescent="0.3">
      <c r="B64" s="9" t="s">
        <v>46</v>
      </c>
      <c r="C64" s="9">
        <v>62711</v>
      </c>
      <c r="D64" s="22">
        <f>IF(62771&gt;0,C64 / I64,0)</f>
        <v>0.99904414458906188</v>
      </c>
      <c r="E64" s="9">
        <v>60</v>
      </c>
      <c r="F64" s="22">
        <f>IF(62771&gt;0,E64 / I64,0)</f>
        <v>9.5585541093817208E-4</v>
      </c>
      <c r="G64" s="9">
        <v>0</v>
      </c>
      <c r="H64" s="22">
        <f>IF(62771&gt;0,G64 / I64,0)</f>
        <v>0</v>
      </c>
      <c r="I64" s="9">
        <f t="shared" si="1"/>
        <v>62771</v>
      </c>
      <c r="J64" s="3"/>
    </row>
    <row r="65" spans="2:10" x14ac:dyDescent="0.3">
      <c r="B65" s="9" t="s">
        <v>47</v>
      </c>
      <c r="C65" s="9">
        <v>862</v>
      </c>
      <c r="D65" s="22">
        <f>IF(862&gt;0,C65 / I65,0)</f>
        <v>1</v>
      </c>
      <c r="E65" s="9">
        <v>0</v>
      </c>
      <c r="F65" s="22">
        <f>IF(862&gt;0,E65 / I65,0)</f>
        <v>0</v>
      </c>
      <c r="G65" s="9">
        <v>0</v>
      </c>
      <c r="H65" s="22">
        <f>IF(862&gt;0,G65 / I65,0)</f>
        <v>0</v>
      </c>
      <c r="I65" s="9">
        <f t="shared" si="1"/>
        <v>862</v>
      </c>
      <c r="J65" s="3"/>
    </row>
    <row r="66" spans="2:10" x14ac:dyDescent="0.3">
      <c r="B66" s="9" t="s">
        <v>48</v>
      </c>
      <c r="C66" s="9">
        <v>2657</v>
      </c>
      <c r="D66" s="22">
        <f>IF(2657&gt;0,C66 / I66,0)</f>
        <v>1</v>
      </c>
      <c r="E66" s="9">
        <v>0</v>
      </c>
      <c r="F66" s="22">
        <f>IF(2657&gt;0,E66 / I66,0)</f>
        <v>0</v>
      </c>
      <c r="G66" s="9">
        <v>0</v>
      </c>
      <c r="H66" s="22">
        <f>IF(2657&gt;0,G66 / I66,0)</f>
        <v>0</v>
      </c>
      <c r="I66" s="9">
        <f t="shared" si="1"/>
        <v>2657</v>
      </c>
      <c r="J66" s="3"/>
    </row>
    <row r="67" spans="2:10" x14ac:dyDescent="0.3">
      <c r="B67" s="9" t="s">
        <v>49</v>
      </c>
      <c r="C67" s="9">
        <v>127</v>
      </c>
      <c r="D67" s="22">
        <f>IF(127&gt;0,C67 / I67,0)</f>
        <v>1</v>
      </c>
      <c r="E67" s="9">
        <v>0</v>
      </c>
      <c r="F67" s="22">
        <f>IF(127&gt;0,E67 / I67,0)</f>
        <v>0</v>
      </c>
      <c r="G67" s="9">
        <v>0</v>
      </c>
      <c r="H67" s="22">
        <f>IF(127&gt;0,G67 / I67,0)</f>
        <v>0</v>
      </c>
      <c r="I67" s="9">
        <f t="shared" si="1"/>
        <v>127</v>
      </c>
      <c r="J67" s="3"/>
    </row>
    <row r="68" spans="2:10" x14ac:dyDescent="0.3">
      <c r="B68" s="9" t="s">
        <v>208</v>
      </c>
      <c r="C68" s="9">
        <v>24</v>
      </c>
      <c r="D68" s="22">
        <f>IF(24&gt;0,C68 / I68,0)</f>
        <v>1</v>
      </c>
      <c r="E68" s="9">
        <v>0</v>
      </c>
      <c r="F68" s="22">
        <f>IF(24&gt;0,E68 / I68,0)</f>
        <v>0</v>
      </c>
      <c r="G68" s="9">
        <v>0</v>
      </c>
      <c r="H68" s="22">
        <f>IF(24&gt;0,G68 / I68,0)</f>
        <v>0</v>
      </c>
      <c r="I68" s="9">
        <f t="shared" si="1"/>
        <v>24</v>
      </c>
      <c r="J68" s="3"/>
    </row>
    <row r="69" spans="2:10" x14ac:dyDescent="0.3">
      <c r="B69" s="9" t="s">
        <v>50</v>
      </c>
      <c r="C69" s="9">
        <v>1852</v>
      </c>
      <c r="D69" s="22">
        <f>IF(1852&gt;0,C69 / I69,0)</f>
        <v>1</v>
      </c>
      <c r="E69" s="9">
        <v>0</v>
      </c>
      <c r="F69" s="22">
        <f>IF(1852&gt;0,E69 / I69,0)</f>
        <v>0</v>
      </c>
      <c r="G69" s="9">
        <v>0</v>
      </c>
      <c r="H69" s="22">
        <f>IF(1852&gt;0,G69 / I69,0)</f>
        <v>0</v>
      </c>
      <c r="I69" s="9">
        <f t="shared" si="1"/>
        <v>1852</v>
      </c>
      <c r="J69" s="3"/>
    </row>
    <row r="70" spans="2:10" x14ac:dyDescent="0.3">
      <c r="B70" s="9" t="s">
        <v>51</v>
      </c>
      <c r="C70" s="9">
        <v>10552</v>
      </c>
      <c r="D70" s="22">
        <f>IF(11151&gt;0,C70 / I70,0)</f>
        <v>0.94628284458792933</v>
      </c>
      <c r="E70" s="9">
        <v>452</v>
      </c>
      <c r="F70" s="22">
        <f>IF(11151&gt;0,E70 / I70,0)</f>
        <v>4.0534481212447314E-2</v>
      </c>
      <c r="G70" s="9">
        <v>147</v>
      </c>
      <c r="H70" s="22">
        <f>IF(11151&gt;0,G70 / I70,0)</f>
        <v>1.3182674199623353E-2</v>
      </c>
      <c r="I70" s="9">
        <f t="shared" si="1"/>
        <v>11151</v>
      </c>
      <c r="J70" s="3"/>
    </row>
    <row r="71" spans="2:10" x14ac:dyDescent="0.3">
      <c r="B71" s="9" t="s">
        <v>52</v>
      </c>
      <c r="C71" s="9">
        <v>201</v>
      </c>
      <c r="D71" s="22">
        <f>IF(201&gt;0,C71 / I71,0)</f>
        <v>1</v>
      </c>
      <c r="E71" s="9">
        <v>0</v>
      </c>
      <c r="F71" s="22">
        <f>IF(201&gt;0,E71 / I71,0)</f>
        <v>0</v>
      </c>
      <c r="G71" s="9">
        <v>0</v>
      </c>
      <c r="H71" s="22">
        <f>IF(201&gt;0,G71 / I71,0)</f>
        <v>0</v>
      </c>
      <c r="I71" s="9">
        <f t="shared" si="1"/>
        <v>201</v>
      </c>
      <c r="J71" s="3"/>
    </row>
    <row r="72" spans="2:10" x14ac:dyDescent="0.3">
      <c r="B72" s="9" t="s">
        <v>53</v>
      </c>
      <c r="C72" s="9">
        <v>2832</v>
      </c>
      <c r="D72" s="22">
        <f>IF(2832&gt;0,C72 / I72,0)</f>
        <v>1</v>
      </c>
      <c r="E72" s="9">
        <v>0</v>
      </c>
      <c r="F72" s="22">
        <f>IF(2832&gt;0,E72 / I72,0)</f>
        <v>0</v>
      </c>
      <c r="G72" s="9">
        <v>0</v>
      </c>
      <c r="H72" s="22">
        <f>IF(2832&gt;0,G72 / I72,0)</f>
        <v>0</v>
      </c>
      <c r="I72" s="9">
        <f t="shared" si="1"/>
        <v>2832</v>
      </c>
      <c r="J72" s="3"/>
    </row>
    <row r="73" spans="2:10" x14ac:dyDescent="0.3">
      <c r="B73" s="9" t="s">
        <v>54</v>
      </c>
      <c r="C73" s="9">
        <v>6067</v>
      </c>
      <c r="D73" s="22">
        <f>IF(6067&gt;0,C73 / I73,0)</f>
        <v>1</v>
      </c>
      <c r="E73" s="9">
        <v>0</v>
      </c>
      <c r="F73" s="22">
        <f>IF(6067&gt;0,E73 / I73,0)</f>
        <v>0</v>
      </c>
      <c r="G73" s="9">
        <v>0</v>
      </c>
      <c r="H73" s="22">
        <f>IF(6067&gt;0,G73 / I73,0)</f>
        <v>0</v>
      </c>
      <c r="I73" s="9">
        <f t="shared" si="1"/>
        <v>6067</v>
      </c>
      <c r="J73" s="3"/>
    </row>
    <row r="74" spans="2:10" x14ac:dyDescent="0.3">
      <c r="B74" s="9" t="s">
        <v>55</v>
      </c>
      <c r="C74" s="9">
        <v>4</v>
      </c>
      <c r="D74" s="22">
        <f>IF(4&gt;0,C74 / I74,0)</f>
        <v>1</v>
      </c>
      <c r="E74" s="9">
        <v>0</v>
      </c>
      <c r="F74" s="22">
        <f>IF(4&gt;0,E74 / I74,0)</f>
        <v>0</v>
      </c>
      <c r="G74" s="9">
        <v>0</v>
      </c>
      <c r="H74" s="22">
        <f>IF(4&gt;0,G74 / I74,0)</f>
        <v>0</v>
      </c>
      <c r="I74" s="9">
        <f t="shared" si="1"/>
        <v>4</v>
      </c>
      <c r="J74" s="3"/>
    </row>
    <row r="75" spans="2:10" x14ac:dyDescent="0.3">
      <c r="B75" s="9" t="s">
        <v>209</v>
      </c>
      <c r="C75" s="9">
        <v>83</v>
      </c>
      <c r="D75" s="22">
        <f>IF(83&gt;0,C75 / I75,0)</f>
        <v>1</v>
      </c>
      <c r="E75" s="9">
        <v>0</v>
      </c>
      <c r="F75" s="22">
        <f>IF(83&gt;0,E75 / I75,0)</f>
        <v>0</v>
      </c>
      <c r="G75" s="9">
        <v>0</v>
      </c>
      <c r="H75" s="22">
        <f>IF(83&gt;0,G75 / I75,0)</f>
        <v>0</v>
      </c>
      <c r="I75" s="9">
        <f t="shared" si="1"/>
        <v>83</v>
      </c>
      <c r="J75" s="3"/>
    </row>
    <row r="76" spans="2:10" x14ac:dyDescent="0.3">
      <c r="B76" s="9" t="s">
        <v>56</v>
      </c>
      <c r="C76" s="9">
        <v>1722</v>
      </c>
      <c r="D76" s="22">
        <f>IF(1722&gt;0,C76 / I76,0)</f>
        <v>1</v>
      </c>
      <c r="E76" s="9">
        <v>0</v>
      </c>
      <c r="F76" s="22">
        <f>IF(1722&gt;0,E76 / I76,0)</f>
        <v>0</v>
      </c>
      <c r="G76" s="9">
        <v>0</v>
      </c>
      <c r="H76" s="22">
        <f>IF(1722&gt;0,G76 / I76,0)</f>
        <v>0</v>
      </c>
      <c r="I76" s="9">
        <f t="shared" si="1"/>
        <v>1722</v>
      </c>
      <c r="J76" s="3"/>
    </row>
    <row r="77" spans="2:10" x14ac:dyDescent="0.3">
      <c r="B77" s="9" t="s">
        <v>57</v>
      </c>
      <c r="C77" s="9">
        <v>62</v>
      </c>
      <c r="D77" s="22">
        <f>IF(62&gt;0,C77 / I77,0)</f>
        <v>1</v>
      </c>
      <c r="E77" s="9">
        <v>0</v>
      </c>
      <c r="F77" s="22">
        <f>IF(62&gt;0,E77 / I77,0)</f>
        <v>0</v>
      </c>
      <c r="G77" s="9">
        <v>0</v>
      </c>
      <c r="H77" s="22">
        <f>IF(62&gt;0,G77 / I77,0)</f>
        <v>0</v>
      </c>
      <c r="I77" s="9">
        <f t="shared" si="1"/>
        <v>62</v>
      </c>
      <c r="J77" s="3"/>
    </row>
    <row r="78" spans="2:10" x14ac:dyDescent="0.3">
      <c r="B78" s="9" t="s">
        <v>210</v>
      </c>
      <c r="C78" s="9">
        <v>4</v>
      </c>
      <c r="D78" s="22">
        <f>IF(4&gt;0,C78 / I78,0)</f>
        <v>1</v>
      </c>
      <c r="E78" s="9">
        <v>0</v>
      </c>
      <c r="F78" s="22">
        <f>IF(4&gt;0,E78 / I78,0)</f>
        <v>0</v>
      </c>
      <c r="G78" s="9">
        <v>0</v>
      </c>
      <c r="H78" s="22">
        <f>IF(4&gt;0,G78 / I78,0)</f>
        <v>0</v>
      </c>
      <c r="I78" s="9">
        <f t="shared" si="1"/>
        <v>4</v>
      </c>
      <c r="J78" s="3"/>
    </row>
    <row r="79" spans="2:10" x14ac:dyDescent="0.3">
      <c r="B79" s="9" t="s">
        <v>58</v>
      </c>
      <c r="C79" s="9">
        <v>6</v>
      </c>
      <c r="D79" s="22">
        <f>IF(6&gt;0,C79 / I79,0)</f>
        <v>1</v>
      </c>
      <c r="E79" s="9">
        <v>0</v>
      </c>
      <c r="F79" s="22">
        <f>IF(6&gt;0,E79 / I79,0)</f>
        <v>0</v>
      </c>
      <c r="G79" s="9">
        <v>0</v>
      </c>
      <c r="H79" s="22">
        <f>IF(6&gt;0,G79 / I79,0)</f>
        <v>0</v>
      </c>
      <c r="I79" s="9">
        <f t="shared" si="1"/>
        <v>6</v>
      </c>
      <c r="J79" s="3"/>
    </row>
    <row r="80" spans="2:10" x14ac:dyDescent="0.3">
      <c r="B80" s="9" t="s">
        <v>211</v>
      </c>
      <c r="C80" s="9">
        <v>3</v>
      </c>
      <c r="D80" s="22">
        <f>IF(3&gt;0,C80 / I80,0)</f>
        <v>1</v>
      </c>
      <c r="E80" s="9">
        <v>0</v>
      </c>
      <c r="F80" s="22">
        <f>IF(3&gt;0,E80 / I80,0)</f>
        <v>0</v>
      </c>
      <c r="G80" s="9">
        <v>0</v>
      </c>
      <c r="H80" s="22">
        <f>IF(3&gt;0,G80 / I80,0)</f>
        <v>0</v>
      </c>
      <c r="I80" s="9">
        <f t="shared" si="1"/>
        <v>3</v>
      </c>
      <c r="J80" s="3"/>
    </row>
    <row r="81" spans="2:10" x14ac:dyDescent="0.3">
      <c r="B81" s="9" t="s">
        <v>212</v>
      </c>
      <c r="C81" s="9">
        <v>2</v>
      </c>
      <c r="D81" s="22">
        <f>IF(2&gt;0,C81 / I81,0)</f>
        <v>1</v>
      </c>
      <c r="E81" s="9">
        <v>0</v>
      </c>
      <c r="F81" s="22">
        <f>IF(2&gt;0,E81 / I81,0)</f>
        <v>0</v>
      </c>
      <c r="G81" s="9">
        <v>0</v>
      </c>
      <c r="H81" s="22">
        <f>IF(2&gt;0,G81 / I81,0)</f>
        <v>0</v>
      </c>
      <c r="I81" s="9">
        <f t="shared" si="1"/>
        <v>2</v>
      </c>
      <c r="J81" s="3"/>
    </row>
    <row r="82" spans="2:10" x14ac:dyDescent="0.3">
      <c r="B82" s="9" t="s">
        <v>213</v>
      </c>
      <c r="C82" s="9">
        <v>0</v>
      </c>
      <c r="D82" s="22">
        <f>IF(0&gt;0,C82 / I82,0)</f>
        <v>0</v>
      </c>
      <c r="E82" s="9">
        <v>0</v>
      </c>
      <c r="F82" s="22">
        <f>IF(0&gt;0,E82 / I82,0)</f>
        <v>0</v>
      </c>
      <c r="G82" s="9">
        <v>0</v>
      </c>
      <c r="H82" s="22">
        <f>IF(0&gt;0,G82 / I82,0)</f>
        <v>0</v>
      </c>
      <c r="I82" s="9">
        <f t="shared" si="1"/>
        <v>0</v>
      </c>
      <c r="J82" s="3"/>
    </row>
    <row r="83" spans="2:10" x14ac:dyDescent="0.3">
      <c r="B83" s="9" t="s">
        <v>59</v>
      </c>
      <c r="C83" s="9">
        <v>0</v>
      </c>
      <c r="D83" s="22">
        <f>IF(0&gt;0,C83 / I83,0)</f>
        <v>0</v>
      </c>
      <c r="E83" s="9">
        <v>0</v>
      </c>
      <c r="F83" s="22">
        <f>IF(0&gt;0,E83 / I83,0)</f>
        <v>0</v>
      </c>
      <c r="G83" s="9">
        <v>0</v>
      </c>
      <c r="H83" s="22">
        <f>IF(0&gt;0,G83 / I83,0)</f>
        <v>0</v>
      </c>
      <c r="I83" s="9">
        <f t="shared" si="1"/>
        <v>0</v>
      </c>
      <c r="J83" s="3"/>
    </row>
    <row r="84" spans="2:10" x14ac:dyDescent="0.3">
      <c r="B84" s="9" t="s">
        <v>214</v>
      </c>
      <c r="C84" s="9">
        <v>2063</v>
      </c>
      <c r="D84" s="22">
        <f>IF(2063&gt;0,C84 / I84,0)</f>
        <v>1</v>
      </c>
      <c r="E84" s="9">
        <v>0</v>
      </c>
      <c r="F84" s="22">
        <f>IF(2063&gt;0,E84 / I84,0)</f>
        <v>0</v>
      </c>
      <c r="G84" s="9">
        <v>0</v>
      </c>
      <c r="H84" s="22">
        <f>IF(2063&gt;0,G84 / I84,0)</f>
        <v>0</v>
      </c>
      <c r="I84" s="9">
        <f t="shared" si="1"/>
        <v>2063</v>
      </c>
      <c r="J84" s="3"/>
    </row>
    <row r="85" spans="2:10" x14ac:dyDescent="0.3">
      <c r="B85" s="9" t="s">
        <v>60</v>
      </c>
      <c r="C85" s="9">
        <v>18184</v>
      </c>
      <c r="D85" s="22">
        <f>IF(18721&gt;0,C85 / I85,0)</f>
        <v>0.97131563484856576</v>
      </c>
      <c r="E85" s="9">
        <v>537</v>
      </c>
      <c r="F85" s="22">
        <f>IF(18721&gt;0,E85 / I85,0)</f>
        <v>2.8684365151434219E-2</v>
      </c>
      <c r="G85" s="9">
        <v>0</v>
      </c>
      <c r="H85" s="22">
        <f>IF(18721&gt;0,G85 / I85,0)</f>
        <v>0</v>
      </c>
      <c r="I85" s="9">
        <f t="shared" si="1"/>
        <v>18721</v>
      </c>
      <c r="J85" s="3"/>
    </row>
    <row r="86" spans="2:10" x14ac:dyDescent="0.3">
      <c r="B86" s="9" t="s">
        <v>61</v>
      </c>
      <c r="C86" s="9">
        <v>80</v>
      </c>
      <c r="D86" s="22">
        <f>IF(80&gt;0,C86 / I86,0)</f>
        <v>1</v>
      </c>
      <c r="E86" s="9">
        <v>0</v>
      </c>
      <c r="F86" s="22">
        <f>IF(80&gt;0,E86 / I86,0)</f>
        <v>0</v>
      </c>
      <c r="G86" s="9">
        <v>0</v>
      </c>
      <c r="H86" s="22">
        <f>IF(80&gt;0,G86 / I86,0)</f>
        <v>0</v>
      </c>
      <c r="I86" s="9">
        <f t="shared" si="1"/>
        <v>80</v>
      </c>
      <c r="J86" s="3"/>
    </row>
    <row r="87" spans="2:10" x14ac:dyDescent="0.3">
      <c r="B87" s="9" t="s">
        <v>78</v>
      </c>
      <c r="C87" s="9">
        <v>7908</v>
      </c>
      <c r="D87" s="22">
        <f>IF(7944&gt;0,C87 / I87,0)</f>
        <v>0.99546827794561932</v>
      </c>
      <c r="E87" s="9">
        <v>36</v>
      </c>
      <c r="F87" s="22">
        <f>IF(7944&gt;0,E87 / I87,0)</f>
        <v>4.5317220543806651E-3</v>
      </c>
      <c r="G87" s="9">
        <v>0</v>
      </c>
      <c r="H87" s="22">
        <f>IF(7944&gt;0,G87 / I87,0)</f>
        <v>0</v>
      </c>
      <c r="I87" s="9">
        <f t="shared" si="1"/>
        <v>7944</v>
      </c>
      <c r="J87" s="3"/>
    </row>
    <row r="88" spans="2:10" x14ac:dyDescent="0.3">
      <c r="B88" s="9" t="s">
        <v>62</v>
      </c>
      <c r="C88" s="9">
        <v>272</v>
      </c>
      <c r="D88" s="22">
        <f>IF(272&gt;0,C88 / I88,0)</f>
        <v>1</v>
      </c>
      <c r="E88" s="9">
        <v>0</v>
      </c>
      <c r="F88" s="22">
        <f>IF(272&gt;0,E88 / I88,0)</f>
        <v>0</v>
      </c>
      <c r="G88" s="9">
        <v>0</v>
      </c>
      <c r="H88" s="22">
        <f>IF(272&gt;0,G88 / I88,0)</f>
        <v>0</v>
      </c>
      <c r="I88" s="9">
        <f t="shared" si="1"/>
        <v>272</v>
      </c>
      <c r="J88" s="3"/>
    </row>
    <row r="89" spans="2:10" x14ac:dyDescent="0.3">
      <c r="B89" s="9" t="s">
        <v>314</v>
      </c>
      <c r="C89" s="9">
        <v>2632</v>
      </c>
      <c r="D89" s="22">
        <f>IF(2632&gt;0,C89 / I89,0)</f>
        <v>1</v>
      </c>
      <c r="E89" s="9">
        <v>0</v>
      </c>
      <c r="F89" s="22">
        <f>IF(2632&gt;0,E89 / I89,0)</f>
        <v>0</v>
      </c>
      <c r="G89" s="9">
        <v>0</v>
      </c>
      <c r="H89" s="22">
        <f>IF(2632&gt;0,G89 / I89,0)</f>
        <v>0</v>
      </c>
      <c r="I89" s="9">
        <f t="shared" si="1"/>
        <v>2632</v>
      </c>
      <c r="J89" s="3"/>
    </row>
    <row r="90" spans="2:10" x14ac:dyDescent="0.3">
      <c r="B90" s="9" t="s">
        <v>79</v>
      </c>
      <c r="C90" s="9">
        <v>8693</v>
      </c>
      <c r="D90" s="22">
        <f>IF(9120&gt;0,C90 / I90,0)</f>
        <v>0.95317982456140349</v>
      </c>
      <c r="E90" s="9">
        <v>427</v>
      </c>
      <c r="F90" s="22">
        <f>IF(9120&gt;0,E90 / I90,0)</f>
        <v>4.6820175438596491E-2</v>
      </c>
      <c r="G90" s="9">
        <v>0</v>
      </c>
      <c r="H90" s="22">
        <f>IF(9120&gt;0,G90 / I90,0)</f>
        <v>0</v>
      </c>
      <c r="I90" s="9">
        <f t="shared" si="1"/>
        <v>9120</v>
      </c>
      <c r="J90" s="3"/>
    </row>
    <row r="91" spans="2:10" x14ac:dyDescent="0.3">
      <c r="B91" s="9" t="s">
        <v>215</v>
      </c>
      <c r="C91" s="9">
        <v>2477</v>
      </c>
      <c r="D91" s="22">
        <f>IF(3635&gt;0,C91 / I91,0)</f>
        <v>0.68143053645116913</v>
      </c>
      <c r="E91" s="9">
        <v>1158</v>
      </c>
      <c r="F91" s="22">
        <f>IF(3635&gt;0,E91 / I91,0)</f>
        <v>0.31856946354883081</v>
      </c>
      <c r="G91" s="9">
        <v>0</v>
      </c>
      <c r="H91" s="22">
        <f>IF(3635&gt;0,G91 / I91,0)</f>
        <v>0</v>
      </c>
      <c r="I91" s="9">
        <f t="shared" si="1"/>
        <v>3635</v>
      </c>
      <c r="J91" s="3"/>
    </row>
    <row r="92" spans="2:10" x14ac:dyDescent="0.3">
      <c r="B92" s="9" t="s">
        <v>63</v>
      </c>
      <c r="C92" s="9">
        <v>34859</v>
      </c>
      <c r="D92" s="22">
        <f>IF(158382&gt;0,C92 / I92,0)</f>
        <v>0.2200944551779874</v>
      </c>
      <c r="E92" s="9">
        <v>111906</v>
      </c>
      <c r="F92" s="22">
        <f>IF(158382&gt;0,E92 / I92,0)</f>
        <v>0.70655756335947262</v>
      </c>
      <c r="G92" s="9">
        <v>11617</v>
      </c>
      <c r="H92" s="22">
        <f>IF(158382&gt;0,G92 / I92,0)</f>
        <v>7.334798146253993E-2</v>
      </c>
      <c r="I92" s="9">
        <f t="shared" si="1"/>
        <v>158382</v>
      </c>
      <c r="J92" s="3"/>
    </row>
    <row r="93" spans="2:10" x14ac:dyDescent="0.3">
      <c r="B93" s="9" t="s">
        <v>216</v>
      </c>
      <c r="C93" s="9">
        <v>954</v>
      </c>
      <c r="D93" s="22">
        <f>IF(954&gt;0,C93 / I93,0)</f>
        <v>1</v>
      </c>
      <c r="E93" s="9">
        <v>0</v>
      </c>
      <c r="F93" s="22">
        <f>IF(954&gt;0,E93 / I93,0)</f>
        <v>0</v>
      </c>
      <c r="G93" s="9">
        <v>0</v>
      </c>
      <c r="H93" s="22">
        <f>IF(954&gt;0,G93 / I93,0)</f>
        <v>0</v>
      </c>
      <c r="I93" s="9">
        <f t="shared" si="1"/>
        <v>954</v>
      </c>
      <c r="J93" s="3"/>
    </row>
    <row r="94" spans="2:10" x14ac:dyDescent="0.3">
      <c r="B94" s="9" t="s">
        <v>64</v>
      </c>
      <c r="C94" s="9">
        <v>24038</v>
      </c>
      <c r="D94" s="22">
        <f>IF(24038&gt;0,C94 / I94,0)</f>
        <v>1</v>
      </c>
      <c r="E94" s="9">
        <v>0</v>
      </c>
      <c r="F94" s="22">
        <f>IF(24038&gt;0,E94 / I94,0)</f>
        <v>0</v>
      </c>
      <c r="G94" s="9">
        <v>0</v>
      </c>
      <c r="H94" s="22">
        <f>IF(24038&gt;0,G94 / I94,0)</f>
        <v>0</v>
      </c>
      <c r="I94" s="9">
        <f t="shared" si="1"/>
        <v>24038</v>
      </c>
      <c r="J94" s="3"/>
    </row>
    <row r="95" spans="2:10" x14ac:dyDescent="0.3">
      <c r="B95" s="9" t="s">
        <v>65</v>
      </c>
      <c r="C95" s="9">
        <v>663</v>
      </c>
      <c r="D95" s="22">
        <f>IF(663&gt;0,C95 / I95,0)</f>
        <v>1</v>
      </c>
      <c r="E95" s="9">
        <v>0</v>
      </c>
      <c r="F95" s="22">
        <f>IF(663&gt;0,E95 / I95,0)</f>
        <v>0</v>
      </c>
      <c r="G95" s="9">
        <v>0</v>
      </c>
      <c r="H95" s="22">
        <f>IF(663&gt;0,G95 / I95,0)</f>
        <v>0</v>
      </c>
      <c r="I95" s="9">
        <f t="shared" si="1"/>
        <v>663</v>
      </c>
      <c r="J95" s="3"/>
    </row>
    <row r="96" spans="2:10" x14ac:dyDescent="0.3">
      <c r="B96" s="9" t="s">
        <v>217</v>
      </c>
      <c r="C96" s="9">
        <v>37263</v>
      </c>
      <c r="D96" s="22">
        <f>IF(42057&gt;0,C96 / I96,0)</f>
        <v>0.88601184107282971</v>
      </c>
      <c r="E96" s="9">
        <v>4794</v>
      </c>
      <c r="F96" s="22">
        <f>IF(42057&gt;0,E96 / I96,0)</f>
        <v>0.11398815892717026</v>
      </c>
      <c r="G96" s="9">
        <v>0</v>
      </c>
      <c r="H96" s="22">
        <f>IF(42057&gt;0,G96 / I96,0)</f>
        <v>0</v>
      </c>
      <c r="I96" s="9">
        <f t="shared" si="1"/>
        <v>42057</v>
      </c>
      <c r="J96" s="3"/>
    </row>
    <row r="97" spans="2:12" ht="15" thickBot="1" x14ac:dyDescent="0.35">
      <c r="B97" s="28" t="s">
        <v>66</v>
      </c>
      <c r="C97" s="28">
        <v>57</v>
      </c>
      <c r="D97" s="39">
        <f>IF(57&gt;0,C97 / I97,0)</f>
        <v>1</v>
      </c>
      <c r="E97" s="28">
        <v>0</v>
      </c>
      <c r="F97" s="39">
        <f>IF(57&gt;0,E97 / I97,0)</f>
        <v>0</v>
      </c>
      <c r="G97" s="28">
        <v>0</v>
      </c>
      <c r="H97" s="39">
        <f>IF(57&gt;0,G97 / I97,0)</f>
        <v>0</v>
      </c>
      <c r="I97" s="28">
        <f t="shared" si="1"/>
        <v>57</v>
      </c>
      <c r="J97" s="36"/>
    </row>
    <row r="98" spans="2:12" x14ac:dyDescent="0.3">
      <c r="B98" s="27" t="s">
        <v>269</v>
      </c>
      <c r="C98" s="27">
        <f>SUM(C57:C97)</f>
        <v>906638</v>
      </c>
      <c r="D98" s="27"/>
      <c r="E98" s="27">
        <f>SUM(E57:E97)</f>
        <v>754156</v>
      </c>
      <c r="F98" s="27"/>
      <c r="G98" s="27">
        <f>SUM(G57:G97)</f>
        <v>198681</v>
      </c>
      <c r="H98" s="27"/>
      <c r="I98" s="27">
        <f>SUM(I57:I97)</f>
        <v>1859475</v>
      </c>
    </row>
    <row r="99" spans="2:12" x14ac:dyDescent="0.3">
      <c r="B99" s="8" t="s">
        <v>226</v>
      </c>
      <c r="C99" s="23">
        <f>C98 / I98</f>
        <v>0.487577407601608</v>
      </c>
      <c r="D99" s="8"/>
      <c r="E99" s="23">
        <f>E98 / I98</f>
        <v>0.40557469178128236</v>
      </c>
      <c r="F99" s="8"/>
      <c r="G99" s="23">
        <f>G98 / I98</f>
        <v>0.10684790061710966</v>
      </c>
      <c r="H99" s="8"/>
      <c r="I99" s="23">
        <f>I98 / I98</f>
        <v>1</v>
      </c>
    </row>
    <row r="100" spans="2:12" x14ac:dyDescent="0.3">
      <c r="B100" s="15"/>
      <c r="C100" s="41"/>
      <c r="D100" s="15"/>
      <c r="E100" s="41"/>
      <c r="F100" s="15"/>
      <c r="G100" s="41"/>
      <c r="H100" s="15"/>
      <c r="I100" s="41"/>
    </row>
    <row r="101" spans="2:12" x14ac:dyDescent="0.3">
      <c r="B101" s="15"/>
      <c r="C101" s="41"/>
      <c r="D101" s="15"/>
      <c r="E101" s="41"/>
      <c r="F101" s="15"/>
      <c r="G101" s="41"/>
      <c r="H101" s="15"/>
      <c r="I101" s="41"/>
    </row>
    <row r="102" spans="2:12" ht="15.6" x14ac:dyDescent="0.3">
      <c r="B102" s="50" t="s">
        <v>272</v>
      </c>
      <c r="C102" s="51"/>
      <c r="D102" s="51"/>
      <c r="E102" s="51"/>
      <c r="F102" s="51"/>
      <c r="G102" s="51"/>
    </row>
    <row r="104" spans="2:12" x14ac:dyDescent="0.3">
      <c r="B104" s="11" t="s">
        <v>267</v>
      </c>
      <c r="C104" s="12"/>
      <c r="D104" s="12"/>
      <c r="E104" s="12"/>
      <c r="F104" s="12"/>
      <c r="G104" s="12"/>
    </row>
    <row r="105" spans="2:12" x14ac:dyDescent="0.3">
      <c r="B105" s="12"/>
      <c r="C105" s="12"/>
      <c r="D105" s="12"/>
      <c r="E105" s="12"/>
      <c r="F105" s="12"/>
      <c r="G105" s="12"/>
    </row>
    <row r="106" spans="2:12" s="6" customFormat="1" ht="45" customHeight="1" x14ac:dyDescent="0.3">
      <c r="B106" s="20" t="s">
        <v>1</v>
      </c>
      <c r="C106" s="20" t="s">
        <v>174</v>
      </c>
      <c r="D106" s="20"/>
      <c r="E106" s="20" t="s">
        <v>268</v>
      </c>
      <c r="F106" s="20"/>
      <c r="G106" s="21" t="s">
        <v>224</v>
      </c>
      <c r="H106" s="37"/>
      <c r="I106" s="37"/>
      <c r="L106" s="37"/>
    </row>
    <row r="107" spans="2:12" x14ac:dyDescent="0.3">
      <c r="B107" s="9" t="s">
        <v>41</v>
      </c>
      <c r="C107" s="9">
        <v>1309527</v>
      </c>
      <c r="D107" s="22">
        <f>IF(1342779&gt;0,C107 / G107,0)</f>
        <v>0.97523643131148163</v>
      </c>
      <c r="E107" s="9">
        <v>33252</v>
      </c>
      <c r="F107" s="22">
        <f>IF(1342779&gt;0,E107 / G107,0)</f>
        <v>2.4763568688518364E-2</v>
      </c>
      <c r="G107" s="9">
        <f t="shared" ref="G107:G147" si="2">C107+E107</f>
        <v>1342779</v>
      </c>
      <c r="H107" s="36"/>
      <c r="I107" s="18"/>
    </row>
    <row r="108" spans="2:12" x14ac:dyDescent="0.3">
      <c r="B108" s="9" t="s">
        <v>76</v>
      </c>
      <c r="C108" s="9">
        <v>131997</v>
      </c>
      <c r="D108" s="22">
        <f>IF(135022&gt;0,C108 / G108,0)</f>
        <v>0.97759624357512109</v>
      </c>
      <c r="E108" s="9">
        <v>3025</v>
      </c>
      <c r="F108" s="22">
        <f>IF(135022&gt;0,E108 / G108,0)</f>
        <v>2.240375642487891E-2</v>
      </c>
      <c r="G108" s="9">
        <f t="shared" si="2"/>
        <v>135022</v>
      </c>
      <c r="H108" s="36"/>
      <c r="I108" s="18"/>
    </row>
    <row r="109" spans="2:12" x14ac:dyDescent="0.3">
      <c r="B109" s="9" t="s">
        <v>42</v>
      </c>
      <c r="C109" s="9">
        <v>8591</v>
      </c>
      <c r="D109" s="22">
        <f>IF(8731&gt;0,C109 / G109,0)</f>
        <v>0.98396518153705192</v>
      </c>
      <c r="E109" s="9">
        <v>140</v>
      </c>
      <c r="F109" s="22">
        <f>IF(8731&gt;0,E109 / G109,0)</f>
        <v>1.6034818462948117E-2</v>
      </c>
      <c r="G109" s="9">
        <f t="shared" si="2"/>
        <v>8731</v>
      </c>
      <c r="H109" s="36"/>
      <c r="I109" s="18"/>
    </row>
    <row r="110" spans="2:12" x14ac:dyDescent="0.3">
      <c r="B110" s="9" t="s">
        <v>43</v>
      </c>
      <c r="C110" s="9">
        <v>2845</v>
      </c>
      <c r="D110" s="22">
        <f>IF(2849&gt;0,C110 / G110,0)</f>
        <v>0.99859599859599857</v>
      </c>
      <c r="E110" s="9">
        <v>4</v>
      </c>
      <c r="F110" s="22">
        <f>IF(2849&gt;0,E110 / G110,0)</f>
        <v>1.4040014040014039E-3</v>
      </c>
      <c r="G110" s="9">
        <f t="shared" si="2"/>
        <v>2849</v>
      </c>
      <c r="H110" s="36"/>
      <c r="I110" s="18"/>
    </row>
    <row r="111" spans="2:12" x14ac:dyDescent="0.3">
      <c r="B111" s="9" t="s">
        <v>44</v>
      </c>
      <c r="C111" s="9">
        <v>0</v>
      </c>
      <c r="D111" s="22">
        <f>IF(0&gt;0,C111 / G111,0)</f>
        <v>0</v>
      </c>
      <c r="E111" s="9">
        <v>0</v>
      </c>
      <c r="F111" s="22">
        <f>IF(0&gt;0,E111 / G111,0)</f>
        <v>0</v>
      </c>
      <c r="G111" s="9">
        <f t="shared" si="2"/>
        <v>0</v>
      </c>
      <c r="H111" s="36"/>
      <c r="I111" s="18"/>
    </row>
    <row r="112" spans="2:12" x14ac:dyDescent="0.3">
      <c r="B112" s="9" t="s">
        <v>45</v>
      </c>
      <c r="C112" s="9">
        <v>2950</v>
      </c>
      <c r="D112" s="22">
        <f>IF(2971&gt;0,C112 / G112,0)</f>
        <v>0.99293167283742845</v>
      </c>
      <c r="E112" s="9">
        <v>21</v>
      </c>
      <c r="F112" s="22">
        <f>IF(2971&gt;0,E112 / G112,0)</f>
        <v>7.0683271625715249E-3</v>
      </c>
      <c r="G112" s="9">
        <f t="shared" si="2"/>
        <v>2971</v>
      </c>
      <c r="H112" s="36"/>
      <c r="I112" s="18"/>
    </row>
    <row r="113" spans="2:9" x14ac:dyDescent="0.3">
      <c r="B113" s="9" t="s">
        <v>207</v>
      </c>
      <c r="C113" s="9">
        <v>6074</v>
      </c>
      <c r="D113" s="22">
        <f>IF(6075&gt;0,C113 / G113,0)</f>
        <v>0.99983539094650209</v>
      </c>
      <c r="E113" s="9">
        <v>1</v>
      </c>
      <c r="F113" s="22">
        <f>IF(6075&gt;0,E113 / G113,0)</f>
        <v>1.646090534979424E-4</v>
      </c>
      <c r="G113" s="9">
        <f t="shared" si="2"/>
        <v>6075</v>
      </c>
      <c r="H113" s="36"/>
      <c r="I113" s="18"/>
    </row>
    <row r="114" spans="2:9" x14ac:dyDescent="0.3">
      <c r="B114" s="9" t="s">
        <v>46</v>
      </c>
      <c r="C114" s="9">
        <v>61747</v>
      </c>
      <c r="D114" s="22">
        <f>IF(62771&gt;0,C114 / G114,0)</f>
        <v>0.98368673431998854</v>
      </c>
      <c r="E114" s="9">
        <v>1024</v>
      </c>
      <c r="F114" s="22">
        <f>IF(62771&gt;0,E114 / G114,0)</f>
        <v>1.6313265680011471E-2</v>
      </c>
      <c r="G114" s="9">
        <f t="shared" si="2"/>
        <v>62771</v>
      </c>
      <c r="H114" s="36"/>
      <c r="I114" s="18"/>
    </row>
    <row r="115" spans="2:9" x14ac:dyDescent="0.3">
      <c r="B115" s="9" t="s">
        <v>47</v>
      </c>
      <c r="C115" s="9">
        <v>419</v>
      </c>
      <c r="D115" s="22">
        <f>IF(862&gt;0,C115 / G115,0)</f>
        <v>0.48607888631090485</v>
      </c>
      <c r="E115" s="9">
        <v>443</v>
      </c>
      <c r="F115" s="22">
        <f>IF(862&gt;0,E115 / G115,0)</f>
        <v>0.5139211136890951</v>
      </c>
      <c r="G115" s="9">
        <f t="shared" si="2"/>
        <v>862</v>
      </c>
      <c r="H115" s="36"/>
      <c r="I115" s="18"/>
    </row>
    <row r="116" spans="2:9" x14ac:dyDescent="0.3">
      <c r="B116" s="9" t="s">
        <v>48</v>
      </c>
      <c r="C116" s="9">
        <v>1388</v>
      </c>
      <c r="D116" s="22">
        <f>IF(2657&gt;0,C116 / G116,0)</f>
        <v>0.52239367707941287</v>
      </c>
      <c r="E116" s="9">
        <v>1269</v>
      </c>
      <c r="F116" s="22">
        <f>IF(2657&gt;0,E116 / G116,0)</f>
        <v>0.47760632292058713</v>
      </c>
      <c r="G116" s="9">
        <f t="shared" si="2"/>
        <v>2657</v>
      </c>
      <c r="H116" s="36"/>
      <c r="I116" s="18"/>
    </row>
    <row r="117" spans="2:9" x14ac:dyDescent="0.3">
      <c r="B117" s="9" t="s">
        <v>49</v>
      </c>
      <c r="C117" s="9">
        <v>119</v>
      </c>
      <c r="D117" s="22">
        <f>IF(127&gt;0,C117 / G117,0)</f>
        <v>0.93700787401574803</v>
      </c>
      <c r="E117" s="9">
        <v>8</v>
      </c>
      <c r="F117" s="22">
        <f>IF(127&gt;0,E117 / G117,0)</f>
        <v>6.2992125984251968E-2</v>
      </c>
      <c r="G117" s="9">
        <f t="shared" si="2"/>
        <v>127</v>
      </c>
      <c r="H117" s="36"/>
      <c r="I117" s="18"/>
    </row>
    <row r="118" spans="2:9" x14ac:dyDescent="0.3">
      <c r="B118" s="9" t="s">
        <v>208</v>
      </c>
      <c r="C118" s="9">
        <v>24</v>
      </c>
      <c r="D118" s="22">
        <f>IF(24&gt;0,C118 / G118,0)</f>
        <v>1</v>
      </c>
      <c r="E118" s="9">
        <v>0</v>
      </c>
      <c r="F118" s="22">
        <f>IF(24&gt;0,E118 / G118,0)</f>
        <v>0</v>
      </c>
      <c r="G118" s="9">
        <f t="shared" si="2"/>
        <v>24</v>
      </c>
      <c r="H118" s="36"/>
      <c r="I118" s="18"/>
    </row>
    <row r="119" spans="2:9" x14ac:dyDescent="0.3">
      <c r="B119" s="9" t="s">
        <v>50</v>
      </c>
      <c r="C119" s="9">
        <v>1276</v>
      </c>
      <c r="D119" s="22">
        <f>IF(1852&gt;0,C119 / G119,0)</f>
        <v>0.68898488120950319</v>
      </c>
      <c r="E119" s="9">
        <v>576</v>
      </c>
      <c r="F119" s="22">
        <f>IF(1852&gt;0,E119 / G119,0)</f>
        <v>0.31101511879049676</v>
      </c>
      <c r="G119" s="9">
        <f t="shared" si="2"/>
        <v>1852</v>
      </c>
      <c r="H119" s="36"/>
      <c r="I119" s="18"/>
    </row>
    <row r="120" spans="2:9" x14ac:dyDescent="0.3">
      <c r="B120" s="9" t="s">
        <v>51</v>
      </c>
      <c r="C120" s="9">
        <v>10889</v>
      </c>
      <c r="D120" s="22">
        <f>IF(11151&gt;0,C120 / G120,0)</f>
        <v>0.97650434938570529</v>
      </c>
      <c r="E120" s="9">
        <v>262</v>
      </c>
      <c r="F120" s="22">
        <f>IF(11151&gt;0,E120 / G120,0)</f>
        <v>2.3495650614294681E-2</v>
      </c>
      <c r="G120" s="9">
        <f t="shared" si="2"/>
        <v>11151</v>
      </c>
      <c r="H120" s="36"/>
      <c r="I120" s="18"/>
    </row>
    <row r="121" spans="2:9" x14ac:dyDescent="0.3">
      <c r="B121" s="9" t="s">
        <v>52</v>
      </c>
      <c r="C121" s="9">
        <v>190</v>
      </c>
      <c r="D121" s="22">
        <f>IF(201&gt;0,C121 / G121,0)</f>
        <v>0.94527363184079605</v>
      </c>
      <c r="E121" s="9">
        <v>11</v>
      </c>
      <c r="F121" s="22">
        <f>IF(201&gt;0,E121 / G121,0)</f>
        <v>5.4726368159203981E-2</v>
      </c>
      <c r="G121" s="9">
        <f t="shared" si="2"/>
        <v>201</v>
      </c>
      <c r="H121" s="36"/>
      <c r="I121" s="18"/>
    </row>
    <row r="122" spans="2:9" x14ac:dyDescent="0.3">
      <c r="B122" s="9" t="s">
        <v>53</v>
      </c>
      <c r="C122" s="9">
        <v>2671</v>
      </c>
      <c r="D122" s="22">
        <f>IF(2832&gt;0,C122 / G122,0)</f>
        <v>0.94314971751412424</v>
      </c>
      <c r="E122" s="9">
        <v>161</v>
      </c>
      <c r="F122" s="22">
        <f>IF(2832&gt;0,E122 / G122,0)</f>
        <v>5.6850282485875703E-2</v>
      </c>
      <c r="G122" s="9">
        <f t="shared" si="2"/>
        <v>2832</v>
      </c>
      <c r="H122" s="36"/>
      <c r="I122" s="18"/>
    </row>
    <row r="123" spans="2:9" x14ac:dyDescent="0.3">
      <c r="B123" s="9" t="s">
        <v>54</v>
      </c>
      <c r="C123" s="9">
        <v>5582</v>
      </c>
      <c r="D123" s="22">
        <f>IF(6067&gt;0,C123 / G123,0)</f>
        <v>0.920059337399044</v>
      </c>
      <c r="E123" s="9">
        <v>485</v>
      </c>
      <c r="F123" s="22">
        <f>IF(6067&gt;0,E123 / G123,0)</f>
        <v>7.9940662600955989E-2</v>
      </c>
      <c r="G123" s="9">
        <f t="shared" si="2"/>
        <v>6067</v>
      </c>
      <c r="H123" s="36"/>
      <c r="I123" s="18"/>
    </row>
    <row r="124" spans="2:9" x14ac:dyDescent="0.3">
      <c r="B124" s="9" t="s">
        <v>55</v>
      </c>
      <c r="C124" s="9">
        <v>0</v>
      </c>
      <c r="D124" s="22">
        <f>IF(4&gt;0,C124 / G124,0)</f>
        <v>0</v>
      </c>
      <c r="E124" s="9">
        <v>4</v>
      </c>
      <c r="F124" s="22">
        <f>IF(4&gt;0,E124 / G124,0)</f>
        <v>1</v>
      </c>
      <c r="G124" s="9">
        <f t="shared" si="2"/>
        <v>4</v>
      </c>
      <c r="H124" s="36"/>
      <c r="I124" s="18"/>
    </row>
    <row r="125" spans="2:9" x14ac:dyDescent="0.3">
      <c r="B125" s="9" t="s">
        <v>209</v>
      </c>
      <c r="C125" s="9">
        <v>79</v>
      </c>
      <c r="D125" s="22">
        <f>IF(83&gt;0,C125 / G125,0)</f>
        <v>0.95180722891566261</v>
      </c>
      <c r="E125" s="9">
        <v>4</v>
      </c>
      <c r="F125" s="22">
        <f>IF(83&gt;0,E125 / G125,0)</f>
        <v>4.8192771084337352E-2</v>
      </c>
      <c r="G125" s="9">
        <f t="shared" si="2"/>
        <v>83</v>
      </c>
      <c r="H125" s="36"/>
      <c r="I125" s="18"/>
    </row>
    <row r="126" spans="2:9" x14ac:dyDescent="0.3">
      <c r="B126" s="9" t="s">
        <v>56</v>
      </c>
      <c r="C126" s="9">
        <v>1320</v>
      </c>
      <c r="D126" s="22">
        <f>IF(1722&gt;0,C126 / G126,0)</f>
        <v>0.76655052264808365</v>
      </c>
      <c r="E126" s="9">
        <v>402</v>
      </c>
      <c r="F126" s="22">
        <f>IF(1722&gt;0,E126 / G126,0)</f>
        <v>0.23344947735191637</v>
      </c>
      <c r="G126" s="9">
        <f t="shared" si="2"/>
        <v>1722</v>
      </c>
      <c r="H126" s="36"/>
      <c r="I126" s="18"/>
    </row>
    <row r="127" spans="2:9" x14ac:dyDescent="0.3">
      <c r="B127" s="9" t="s">
        <v>57</v>
      </c>
      <c r="C127" s="9">
        <v>44</v>
      </c>
      <c r="D127" s="22">
        <f>IF(62&gt;0,C127 / G127,0)</f>
        <v>0.70967741935483875</v>
      </c>
      <c r="E127" s="9">
        <v>18</v>
      </c>
      <c r="F127" s="22">
        <f>IF(62&gt;0,E127 / G127,0)</f>
        <v>0.29032258064516131</v>
      </c>
      <c r="G127" s="9">
        <f t="shared" si="2"/>
        <v>62</v>
      </c>
      <c r="H127" s="36"/>
      <c r="I127" s="18"/>
    </row>
    <row r="128" spans="2:9" x14ac:dyDescent="0.3">
      <c r="B128" s="9" t="s">
        <v>210</v>
      </c>
      <c r="C128" s="9">
        <v>0</v>
      </c>
      <c r="D128" s="22">
        <f>IF(4&gt;0,C128 / G128,0)</f>
        <v>0</v>
      </c>
      <c r="E128" s="9">
        <v>4</v>
      </c>
      <c r="F128" s="22">
        <f>IF(4&gt;0,E128 / G128,0)</f>
        <v>1</v>
      </c>
      <c r="G128" s="9">
        <f t="shared" si="2"/>
        <v>4</v>
      </c>
      <c r="H128" s="36"/>
      <c r="I128" s="18"/>
    </row>
    <row r="129" spans="2:9" x14ac:dyDescent="0.3">
      <c r="B129" s="9" t="s">
        <v>58</v>
      </c>
      <c r="C129" s="9">
        <v>6</v>
      </c>
      <c r="D129" s="22">
        <f>IF(6&gt;0,C129 / G129,0)</f>
        <v>1</v>
      </c>
      <c r="E129" s="9">
        <v>0</v>
      </c>
      <c r="F129" s="22">
        <f>IF(6&gt;0,E129 / G129,0)</f>
        <v>0</v>
      </c>
      <c r="G129" s="9">
        <f t="shared" si="2"/>
        <v>6</v>
      </c>
      <c r="H129" s="36"/>
      <c r="I129" s="18"/>
    </row>
    <row r="130" spans="2:9" x14ac:dyDescent="0.3">
      <c r="B130" s="9" t="s">
        <v>211</v>
      </c>
      <c r="C130" s="9">
        <v>3</v>
      </c>
      <c r="D130" s="22">
        <f>IF(3&gt;0,C130 / G130,0)</f>
        <v>1</v>
      </c>
      <c r="E130" s="9">
        <v>0</v>
      </c>
      <c r="F130" s="22">
        <f>IF(3&gt;0,E130 / G130,0)</f>
        <v>0</v>
      </c>
      <c r="G130" s="9">
        <f t="shared" si="2"/>
        <v>3</v>
      </c>
      <c r="H130" s="36"/>
      <c r="I130" s="18"/>
    </row>
    <row r="131" spans="2:9" x14ac:dyDescent="0.3">
      <c r="B131" s="9" t="s">
        <v>212</v>
      </c>
      <c r="C131" s="9">
        <v>0</v>
      </c>
      <c r="D131" s="22">
        <f>IF(2&gt;0,C131 / G131,0)</f>
        <v>0</v>
      </c>
      <c r="E131" s="9">
        <v>2</v>
      </c>
      <c r="F131" s="22">
        <f>IF(2&gt;0,E131 / G131,0)</f>
        <v>1</v>
      </c>
      <c r="G131" s="9">
        <f t="shared" si="2"/>
        <v>2</v>
      </c>
      <c r="H131" s="36"/>
      <c r="I131" s="18"/>
    </row>
    <row r="132" spans="2:9" x14ac:dyDescent="0.3">
      <c r="B132" s="9" t="s">
        <v>213</v>
      </c>
      <c r="C132" s="9">
        <v>0</v>
      </c>
      <c r="D132" s="22">
        <f>IF(0&gt;0,C132 / G132,0)</f>
        <v>0</v>
      </c>
      <c r="E132" s="9">
        <v>0</v>
      </c>
      <c r="F132" s="22">
        <f>IF(0&gt;0,E132 / G132,0)</f>
        <v>0</v>
      </c>
      <c r="G132" s="9">
        <f t="shared" si="2"/>
        <v>0</v>
      </c>
      <c r="H132" s="36"/>
      <c r="I132" s="18"/>
    </row>
    <row r="133" spans="2:9" x14ac:dyDescent="0.3">
      <c r="B133" s="9" t="s">
        <v>59</v>
      </c>
      <c r="C133" s="9">
        <v>0</v>
      </c>
      <c r="D133" s="22">
        <f>IF(0&gt;0,C133 / G133,0)</f>
        <v>0</v>
      </c>
      <c r="E133" s="9">
        <v>0</v>
      </c>
      <c r="F133" s="22">
        <f>IF(0&gt;0,E133 / G133,0)</f>
        <v>0</v>
      </c>
      <c r="G133" s="9">
        <f t="shared" si="2"/>
        <v>0</v>
      </c>
      <c r="H133" s="36"/>
      <c r="I133" s="18"/>
    </row>
    <row r="134" spans="2:9" x14ac:dyDescent="0.3">
      <c r="B134" s="9" t="s">
        <v>214</v>
      </c>
      <c r="C134" s="9">
        <v>2027</v>
      </c>
      <c r="D134" s="22">
        <f>IF(2063&gt;0,C134 / G134,0)</f>
        <v>0.98254968492486672</v>
      </c>
      <c r="E134" s="9">
        <v>36</v>
      </c>
      <c r="F134" s="22">
        <f>IF(2063&gt;0,E134 / G134,0)</f>
        <v>1.74503150751333E-2</v>
      </c>
      <c r="G134" s="9">
        <f t="shared" si="2"/>
        <v>2063</v>
      </c>
      <c r="H134" s="36"/>
      <c r="I134" s="18"/>
    </row>
    <row r="135" spans="2:9" x14ac:dyDescent="0.3">
      <c r="B135" s="9" t="s">
        <v>60</v>
      </c>
      <c r="C135" s="9">
        <v>18451</v>
      </c>
      <c r="D135" s="22">
        <f>IF(18721&gt;0,C135 / G135,0)</f>
        <v>0.98557769349927893</v>
      </c>
      <c r="E135" s="9">
        <v>270</v>
      </c>
      <c r="F135" s="22">
        <f>IF(18721&gt;0,E135 / G135,0)</f>
        <v>1.4422306500721115E-2</v>
      </c>
      <c r="G135" s="9">
        <f t="shared" si="2"/>
        <v>18721</v>
      </c>
      <c r="H135" s="36"/>
      <c r="I135" s="18"/>
    </row>
    <row r="136" spans="2:9" x14ac:dyDescent="0.3">
      <c r="B136" s="9" t="s">
        <v>61</v>
      </c>
      <c r="C136" s="9">
        <v>80</v>
      </c>
      <c r="D136" s="22">
        <f>IF(80&gt;0,C136 / G136,0)</f>
        <v>1</v>
      </c>
      <c r="E136" s="9">
        <v>0</v>
      </c>
      <c r="F136" s="22">
        <f>IF(80&gt;0,E136 / G136,0)</f>
        <v>0</v>
      </c>
      <c r="G136" s="9">
        <f t="shared" si="2"/>
        <v>80</v>
      </c>
      <c r="H136" s="36"/>
      <c r="I136" s="18"/>
    </row>
    <row r="137" spans="2:9" x14ac:dyDescent="0.3">
      <c r="B137" s="9" t="s">
        <v>78</v>
      </c>
      <c r="C137" s="9">
        <v>7608</v>
      </c>
      <c r="D137" s="22">
        <f>IF(7944&gt;0,C137 / G137,0)</f>
        <v>0.95770392749244715</v>
      </c>
      <c r="E137" s="9">
        <v>336</v>
      </c>
      <c r="F137" s="22">
        <f>IF(7944&gt;0,E137 / G137,0)</f>
        <v>4.2296072507552872E-2</v>
      </c>
      <c r="G137" s="9">
        <f t="shared" si="2"/>
        <v>7944</v>
      </c>
      <c r="H137" s="36"/>
      <c r="I137" s="18"/>
    </row>
    <row r="138" spans="2:9" x14ac:dyDescent="0.3">
      <c r="B138" s="9" t="s">
        <v>62</v>
      </c>
      <c r="C138" s="9">
        <v>269</v>
      </c>
      <c r="D138" s="22">
        <f>IF(272&gt;0,C138 / G138,0)</f>
        <v>0.98897058823529416</v>
      </c>
      <c r="E138" s="9">
        <v>3</v>
      </c>
      <c r="F138" s="22">
        <f>IF(272&gt;0,E138 / G138,0)</f>
        <v>1.1029411764705883E-2</v>
      </c>
      <c r="G138" s="9">
        <f t="shared" si="2"/>
        <v>272</v>
      </c>
      <c r="H138" s="36"/>
      <c r="I138" s="18"/>
    </row>
    <row r="139" spans="2:9" x14ac:dyDescent="0.3">
      <c r="B139" s="9" t="s">
        <v>314</v>
      </c>
      <c r="C139" s="9">
        <v>2632</v>
      </c>
      <c r="D139" s="22">
        <f>IF(2632&gt;0,C139 / G139,0)</f>
        <v>1</v>
      </c>
      <c r="E139" s="9">
        <v>0</v>
      </c>
      <c r="F139" s="22">
        <f>IF(2632&gt;0,E139 / G139,0)</f>
        <v>0</v>
      </c>
      <c r="G139" s="9">
        <f t="shared" si="2"/>
        <v>2632</v>
      </c>
      <c r="H139" s="36"/>
      <c r="I139" s="18"/>
    </row>
    <row r="140" spans="2:9" x14ac:dyDescent="0.3">
      <c r="B140" s="9" t="s">
        <v>79</v>
      </c>
      <c r="C140" s="9">
        <v>7932</v>
      </c>
      <c r="D140" s="22">
        <f>IF(9120&gt;0,C140 / G140,0)</f>
        <v>0.86973684210526314</v>
      </c>
      <c r="E140" s="9">
        <v>1188</v>
      </c>
      <c r="F140" s="22">
        <f>IF(9120&gt;0,E140 / G140,0)</f>
        <v>0.13026315789473683</v>
      </c>
      <c r="G140" s="9">
        <f t="shared" si="2"/>
        <v>9120</v>
      </c>
      <c r="H140" s="36"/>
      <c r="I140" s="18"/>
    </row>
    <row r="141" spans="2:9" x14ac:dyDescent="0.3">
      <c r="B141" s="9" t="s">
        <v>215</v>
      </c>
      <c r="C141" s="9">
        <v>3635</v>
      </c>
      <c r="D141" s="22">
        <f>IF(3635&gt;0,C141 / G141,0)</f>
        <v>1</v>
      </c>
      <c r="E141" s="9">
        <v>0</v>
      </c>
      <c r="F141" s="22">
        <f>IF(3635&gt;0,E141 / G141,0)</f>
        <v>0</v>
      </c>
      <c r="G141" s="9">
        <f t="shared" si="2"/>
        <v>3635</v>
      </c>
      <c r="H141" s="36"/>
      <c r="I141" s="18"/>
    </row>
    <row r="142" spans="2:9" x14ac:dyDescent="0.3">
      <c r="B142" s="9" t="s">
        <v>63</v>
      </c>
      <c r="C142" s="9">
        <v>155002</v>
      </c>
      <c r="D142" s="22">
        <f>IF(158382&gt;0,C142 / G142,0)</f>
        <v>0.97865919106969224</v>
      </c>
      <c r="E142" s="9">
        <v>3380</v>
      </c>
      <c r="F142" s="22">
        <f>IF(158382&gt;0,E142 / G142,0)</f>
        <v>2.1340808930307736E-2</v>
      </c>
      <c r="G142" s="9">
        <f t="shared" si="2"/>
        <v>158382</v>
      </c>
      <c r="H142" s="36"/>
      <c r="I142" s="18"/>
    </row>
    <row r="143" spans="2:9" x14ac:dyDescent="0.3">
      <c r="B143" s="9" t="s">
        <v>216</v>
      </c>
      <c r="C143" s="9">
        <v>954</v>
      </c>
      <c r="D143" s="22">
        <f>IF(954&gt;0,C143 / G143,0)</f>
        <v>1</v>
      </c>
      <c r="E143" s="9">
        <v>0</v>
      </c>
      <c r="F143" s="22">
        <f>IF(954&gt;0,E143 / G143,0)</f>
        <v>0</v>
      </c>
      <c r="G143" s="9">
        <f t="shared" si="2"/>
        <v>954</v>
      </c>
      <c r="H143" s="36"/>
      <c r="I143" s="18"/>
    </row>
    <row r="144" spans="2:9" x14ac:dyDescent="0.3">
      <c r="B144" s="9" t="s">
        <v>64</v>
      </c>
      <c r="C144" s="9">
        <v>23398</v>
      </c>
      <c r="D144" s="22">
        <f>IF(24038&gt;0,C144 / G144,0)</f>
        <v>0.97337548880938518</v>
      </c>
      <c r="E144" s="9">
        <v>640</v>
      </c>
      <c r="F144" s="22">
        <f>IF(24038&gt;0,E144 / G144,0)</f>
        <v>2.6624511190614861E-2</v>
      </c>
      <c r="G144" s="9">
        <f t="shared" si="2"/>
        <v>24038</v>
      </c>
      <c r="H144" s="36"/>
      <c r="I144" s="18"/>
    </row>
    <row r="145" spans="2:12" x14ac:dyDescent="0.3">
      <c r="B145" s="9" t="s">
        <v>65</v>
      </c>
      <c r="C145" s="9">
        <v>500</v>
      </c>
      <c r="D145" s="22">
        <f>IF(663&gt;0,C145 / G145,0)</f>
        <v>0.75414781297134237</v>
      </c>
      <c r="E145" s="9">
        <v>163</v>
      </c>
      <c r="F145" s="22">
        <f>IF(663&gt;0,E145 / G145,0)</f>
        <v>0.2458521870286576</v>
      </c>
      <c r="G145" s="9">
        <f t="shared" si="2"/>
        <v>663</v>
      </c>
      <c r="H145" s="36"/>
      <c r="I145" s="18"/>
    </row>
    <row r="146" spans="2:12" x14ac:dyDescent="0.3">
      <c r="B146" s="9" t="s">
        <v>217</v>
      </c>
      <c r="C146" s="9">
        <v>41581</v>
      </c>
      <c r="D146" s="22">
        <f>IF(42057&gt;0,C146 / G146,0)</f>
        <v>0.98868202677318873</v>
      </c>
      <c r="E146" s="9">
        <v>476</v>
      </c>
      <c r="F146" s="22">
        <f>IF(42057&gt;0,E146 / G146,0)</f>
        <v>1.1317973226811232E-2</v>
      </c>
      <c r="G146" s="9">
        <f t="shared" si="2"/>
        <v>42057</v>
      </c>
      <c r="H146" s="36"/>
      <c r="I146" s="18"/>
    </row>
    <row r="147" spans="2:12" ht="15" thickBot="1" x14ac:dyDescent="0.35">
      <c r="B147" s="28" t="s">
        <v>66</v>
      </c>
      <c r="C147" s="28">
        <v>56</v>
      </c>
      <c r="D147" s="39">
        <f>IF(57&gt;0,C147 / G147,0)</f>
        <v>0.98245614035087714</v>
      </c>
      <c r="E147" s="28">
        <v>1</v>
      </c>
      <c r="F147" s="39">
        <f>IF(57&gt;0,E147 / G147,0)</f>
        <v>1.7543859649122806E-2</v>
      </c>
      <c r="G147" s="28">
        <f t="shared" si="2"/>
        <v>57</v>
      </c>
      <c r="H147" s="36"/>
      <c r="I147" s="18"/>
    </row>
    <row r="148" spans="2:12" x14ac:dyDescent="0.3">
      <c r="B148" s="27" t="s">
        <v>269</v>
      </c>
      <c r="C148" s="27">
        <f>SUM(C107:C147)</f>
        <v>1811866</v>
      </c>
      <c r="D148" s="27"/>
      <c r="E148" s="27">
        <f>SUM(E107:E147)</f>
        <v>47609</v>
      </c>
      <c r="F148" s="27"/>
      <c r="G148" s="27">
        <f>SUM(G107:G147)</f>
        <v>1859475</v>
      </c>
      <c r="H148" s="18"/>
      <c r="I148" s="18"/>
    </row>
    <row r="149" spans="2:12" x14ac:dyDescent="0.3">
      <c r="B149" s="38" t="s">
        <v>226</v>
      </c>
      <c r="C149" s="23">
        <f>C148 / G148</f>
        <v>0.97439653665685211</v>
      </c>
      <c r="D149" s="8"/>
      <c r="E149" s="23">
        <f>E148 / G148</f>
        <v>2.560346334314793E-2</v>
      </c>
      <c r="F149" s="8"/>
      <c r="G149" s="23">
        <f>G148 / G148</f>
        <v>1</v>
      </c>
      <c r="H149" s="18"/>
      <c r="I149" s="18"/>
    </row>
    <row r="150" spans="2:12" x14ac:dyDescent="0.3">
      <c r="H150" s="18"/>
      <c r="I150" s="18"/>
    </row>
    <row r="152" spans="2:12" ht="15.6" x14ac:dyDescent="0.3">
      <c r="B152" s="50" t="s">
        <v>273</v>
      </c>
      <c r="C152" s="51"/>
      <c r="D152" s="51"/>
      <c r="E152" s="51"/>
      <c r="F152" s="51"/>
      <c r="G152" s="51"/>
      <c r="H152" s="51"/>
      <c r="I152" s="51"/>
      <c r="J152" s="51"/>
      <c r="K152" s="51"/>
    </row>
    <row r="154" spans="2:12" x14ac:dyDescent="0.3">
      <c r="B154" s="11" t="s">
        <v>274</v>
      </c>
      <c r="C154" s="12"/>
      <c r="D154" s="12"/>
      <c r="E154" s="12"/>
      <c r="F154" s="12"/>
      <c r="G154" s="12"/>
      <c r="H154" s="12"/>
      <c r="I154" s="12"/>
      <c r="J154" s="12"/>
      <c r="K154" s="12"/>
    </row>
    <row r="155" spans="2:12" x14ac:dyDescent="0.3">
      <c r="B155" s="12"/>
      <c r="C155" s="12"/>
      <c r="D155" s="12"/>
      <c r="E155" s="61" t="s">
        <v>265</v>
      </c>
      <c r="F155" s="61"/>
      <c r="G155" s="61"/>
      <c r="H155" s="61"/>
      <c r="I155" s="61"/>
      <c r="J155" s="61"/>
      <c r="K155" s="12"/>
    </row>
    <row r="156" spans="2:12" s="6" customFormat="1" ht="75" customHeight="1" x14ac:dyDescent="0.3">
      <c r="B156" s="20" t="s">
        <v>173</v>
      </c>
      <c r="C156" s="20" t="s">
        <v>75</v>
      </c>
      <c r="D156" s="20"/>
      <c r="E156" s="20" t="s">
        <v>4</v>
      </c>
      <c r="F156" s="20"/>
      <c r="G156" s="20" t="s">
        <v>5</v>
      </c>
      <c r="H156" s="20"/>
      <c r="I156" s="20" t="s">
        <v>6</v>
      </c>
      <c r="J156" s="20"/>
      <c r="K156" s="21" t="s">
        <v>224</v>
      </c>
      <c r="L156" s="37"/>
    </row>
    <row r="157" spans="2:12" x14ac:dyDescent="0.3">
      <c r="B157" s="9" t="s">
        <v>7</v>
      </c>
      <c r="C157" s="9">
        <v>79064</v>
      </c>
      <c r="D157" s="22">
        <f>IF(1037931&gt;0,C157 / K157,0)</f>
        <v>7.6174620470917623E-2</v>
      </c>
      <c r="E157" s="9">
        <v>642299</v>
      </c>
      <c r="F157" s="22">
        <f>IF(1037931&gt;0,E157 / K157,0)</f>
        <v>0.61882629962878077</v>
      </c>
      <c r="G157" s="9">
        <v>289166</v>
      </c>
      <c r="H157" s="22">
        <f>IF(1037931&gt;0,G157 / K157,0)</f>
        <v>0.27859848101656082</v>
      </c>
      <c r="I157" s="9">
        <v>27402</v>
      </c>
      <c r="J157" s="22">
        <f>IF(1037931&gt;0,I157 / K157,0)</f>
        <v>2.6400598883740828E-2</v>
      </c>
      <c r="K157" s="9">
        <f t="shared" ref="K157:K165" si="3">C157+E157+G157+I157</f>
        <v>1037931</v>
      </c>
      <c r="L157" s="36"/>
    </row>
    <row r="158" spans="2:12" x14ac:dyDescent="0.3">
      <c r="B158" s="9" t="s">
        <v>8</v>
      </c>
      <c r="C158" s="9">
        <v>8239</v>
      </c>
      <c r="D158" s="22">
        <f>IF(267431&gt;0,C158 / K158,0)</f>
        <v>3.0807946722706044E-2</v>
      </c>
      <c r="E158" s="9">
        <v>125904</v>
      </c>
      <c r="F158" s="22">
        <f>IF(267431&gt;0,E158 / K158,0)</f>
        <v>0.47079059645291682</v>
      </c>
      <c r="G158" s="9">
        <v>122826</v>
      </c>
      <c r="H158" s="22">
        <f>IF(267431&gt;0,G158 / K158,0)</f>
        <v>0.45928108558843217</v>
      </c>
      <c r="I158" s="9">
        <v>10462</v>
      </c>
      <c r="J158" s="22">
        <f>IF(267431&gt;0,I158 / K158,0)</f>
        <v>3.9120371235944973E-2</v>
      </c>
      <c r="K158" s="9">
        <f t="shared" si="3"/>
        <v>267431</v>
      </c>
      <c r="L158" s="36"/>
    </row>
    <row r="159" spans="2:12" x14ac:dyDescent="0.3">
      <c r="B159" s="9" t="s">
        <v>34</v>
      </c>
      <c r="C159" s="9">
        <v>21858</v>
      </c>
      <c r="D159" s="22">
        <f>IF(313557&gt;0,C159 / K159,0)</f>
        <v>6.9709813526727199E-2</v>
      </c>
      <c r="E159" s="9">
        <v>209419</v>
      </c>
      <c r="F159" s="22">
        <f>IF(313557&gt;0,E159 / K159,0)</f>
        <v>0.66788175674598238</v>
      </c>
      <c r="G159" s="9">
        <v>46897</v>
      </c>
      <c r="H159" s="22">
        <f>IF(313557&gt;0,G159 / K159,0)</f>
        <v>0.14956451299125836</v>
      </c>
      <c r="I159" s="9">
        <v>35383</v>
      </c>
      <c r="J159" s="22">
        <f>IF(313557&gt;0,I159 / K159,0)</f>
        <v>0.11284391673603204</v>
      </c>
      <c r="K159" s="9">
        <f t="shared" si="3"/>
        <v>313557</v>
      </c>
      <c r="L159" s="36"/>
    </row>
    <row r="160" spans="2:12" x14ac:dyDescent="0.3">
      <c r="B160" s="9" t="s">
        <v>105</v>
      </c>
      <c r="C160" s="9">
        <v>1065</v>
      </c>
      <c r="D160" s="22">
        <f>IF(10206&gt;0,C160 / K160,0)</f>
        <v>0.1043503821281599</v>
      </c>
      <c r="E160" s="9">
        <v>8367</v>
      </c>
      <c r="F160" s="22">
        <f>IF(10206&gt;0,E160 / K160,0)</f>
        <v>0.81981187536743094</v>
      </c>
      <c r="G160" s="9">
        <v>709</v>
      </c>
      <c r="H160" s="22">
        <f>IF(10206&gt;0,G160 / K160,0)</f>
        <v>6.9468939839310212E-2</v>
      </c>
      <c r="I160" s="9">
        <v>65</v>
      </c>
      <c r="J160" s="22">
        <f>IF(10206&gt;0,I160 / K160,0)</f>
        <v>6.3688026650989618E-3</v>
      </c>
      <c r="K160" s="9">
        <f t="shared" si="3"/>
        <v>10206</v>
      </c>
      <c r="L160" s="36"/>
    </row>
    <row r="161" spans="2:12" x14ac:dyDescent="0.3">
      <c r="B161" s="9" t="s">
        <v>9</v>
      </c>
      <c r="C161" s="9">
        <v>375</v>
      </c>
      <c r="D161" s="22">
        <f>IF(26577&gt;0,C161 / K161,0)</f>
        <v>1.4109944689016819E-2</v>
      </c>
      <c r="E161" s="9">
        <v>22899</v>
      </c>
      <c r="F161" s="22">
        <f>IF(26577&gt;0,E161 / K161,0)</f>
        <v>0.86160966249012305</v>
      </c>
      <c r="G161" s="9">
        <v>3297</v>
      </c>
      <c r="H161" s="22">
        <f>IF(26577&gt;0,G161 / K161,0)</f>
        <v>0.12405463370583587</v>
      </c>
      <c r="I161" s="9">
        <v>6</v>
      </c>
      <c r="J161" s="22">
        <f>IF(26577&gt;0,I161 / K161,0)</f>
        <v>2.257591150242691E-4</v>
      </c>
      <c r="K161" s="9">
        <f t="shared" si="3"/>
        <v>26577</v>
      </c>
      <c r="L161" s="36"/>
    </row>
    <row r="162" spans="2:12" x14ac:dyDescent="0.3">
      <c r="B162" s="9" t="s">
        <v>68</v>
      </c>
      <c r="C162" s="9">
        <v>2105</v>
      </c>
      <c r="D162" s="22">
        <f>IF(8949&gt;0,C162 / K162,0)</f>
        <v>0.23522181249301599</v>
      </c>
      <c r="E162" s="9">
        <v>4380</v>
      </c>
      <c r="F162" s="22">
        <f>IF(8949&gt;0,E162 / K162,0)</f>
        <v>0.48944016091183373</v>
      </c>
      <c r="G162" s="9">
        <v>2418</v>
      </c>
      <c r="H162" s="22">
        <f>IF(8949&gt;0,G162 / K162,0)</f>
        <v>0.27019778746228629</v>
      </c>
      <c r="I162" s="9">
        <v>46</v>
      </c>
      <c r="J162" s="22">
        <f>IF(8949&gt;0,I162 / K162,0)</f>
        <v>5.1402391328640076E-3</v>
      </c>
      <c r="K162" s="9">
        <f t="shared" si="3"/>
        <v>8949</v>
      </c>
      <c r="L162" s="36"/>
    </row>
    <row r="163" spans="2:12" x14ac:dyDescent="0.3">
      <c r="B163" s="9" t="s">
        <v>67</v>
      </c>
      <c r="C163" s="9">
        <v>6573</v>
      </c>
      <c r="D163" s="22">
        <f>IF(37120&gt;0,C163 / K163,0)</f>
        <v>0.17707435344827585</v>
      </c>
      <c r="E163" s="9">
        <v>21210</v>
      </c>
      <c r="F163" s="22">
        <f>IF(37120&gt;0,E163 / K163,0)</f>
        <v>0.57139008620689657</v>
      </c>
      <c r="G163" s="9">
        <v>9203</v>
      </c>
      <c r="H163" s="22">
        <f>IF(37120&gt;0,G163 / K163,0)</f>
        <v>0.24792564655172414</v>
      </c>
      <c r="I163" s="9">
        <v>134</v>
      </c>
      <c r="J163" s="22">
        <f>IF(37120&gt;0,I163 / K163,0)</f>
        <v>3.6099137931034481E-3</v>
      </c>
      <c r="K163" s="9">
        <f t="shared" si="3"/>
        <v>37120</v>
      </c>
      <c r="L163" s="36"/>
    </row>
    <row r="164" spans="2:12" x14ac:dyDescent="0.3">
      <c r="B164" s="9" t="s">
        <v>11</v>
      </c>
      <c r="C164" s="9">
        <v>0</v>
      </c>
      <c r="D164" s="22">
        <f>IF(788&gt;0,C164 / K164,0)</f>
        <v>0</v>
      </c>
      <c r="E164" s="9">
        <v>788</v>
      </c>
      <c r="F164" s="22">
        <f>IF(788&gt;0,E164 / K164,0)</f>
        <v>1</v>
      </c>
      <c r="G164" s="9">
        <v>0</v>
      </c>
      <c r="H164" s="22">
        <f>IF(788&gt;0,G164 / K164,0)</f>
        <v>0</v>
      </c>
      <c r="I164" s="9">
        <v>0</v>
      </c>
      <c r="J164" s="22">
        <f>IF(788&gt;0,I164 / K164,0)</f>
        <v>0</v>
      </c>
      <c r="K164" s="9">
        <f t="shared" si="3"/>
        <v>788</v>
      </c>
      <c r="L164" s="36"/>
    </row>
    <row r="165" spans="2:12" ht="15" thickBot="1" x14ac:dyDescent="0.35">
      <c r="B165" s="28" t="s">
        <v>10</v>
      </c>
      <c r="C165" s="28">
        <v>282</v>
      </c>
      <c r="D165" s="39">
        <f>IF(156916&gt;0,C165 / K165,0)</f>
        <v>1.7971398710137907E-3</v>
      </c>
      <c r="E165" s="28">
        <v>140194</v>
      </c>
      <c r="F165" s="39">
        <f>IF(156916&gt;0,E165 / K165,0)</f>
        <v>0.89343342935073544</v>
      </c>
      <c r="G165" s="28">
        <v>10487</v>
      </c>
      <c r="H165" s="39">
        <f>IF(156916&gt;0,G165 / K165,0)</f>
        <v>6.68319355578781E-2</v>
      </c>
      <c r="I165" s="28">
        <v>5953</v>
      </c>
      <c r="J165" s="39">
        <f>IF(156916&gt;0,I165 / K165,0)</f>
        <v>3.793749522037268E-2</v>
      </c>
      <c r="K165" s="28">
        <f t="shared" si="3"/>
        <v>156916</v>
      </c>
      <c r="L165" s="36"/>
    </row>
    <row r="166" spans="2:12" x14ac:dyDescent="0.3">
      <c r="B166" s="27" t="s">
        <v>269</v>
      </c>
      <c r="C166" s="27">
        <f>SUM(C157:C165)</f>
        <v>119561</v>
      </c>
      <c r="D166" s="27"/>
      <c r="E166" s="27">
        <f>SUM(E157:E165)</f>
        <v>1175460</v>
      </c>
      <c r="F166" s="27"/>
      <c r="G166" s="27">
        <f>SUM(G157:G165)</f>
        <v>485003</v>
      </c>
      <c r="H166" s="27"/>
      <c r="I166" s="27">
        <f>SUM(I157:I165)</f>
        <v>79451</v>
      </c>
      <c r="J166" s="27"/>
      <c r="K166" s="27">
        <f>SUM(K157:K165)</f>
        <v>1859475</v>
      </c>
    </row>
    <row r="167" spans="2:12" x14ac:dyDescent="0.3">
      <c r="B167" s="38" t="s">
        <v>226</v>
      </c>
      <c r="C167" s="23">
        <f>C166 / K166</f>
        <v>6.4298256228236469E-2</v>
      </c>
      <c r="D167" s="8"/>
      <c r="E167" s="23">
        <f>E166 / K166</f>
        <v>0.6321461702900012</v>
      </c>
      <c r="F167" s="8"/>
      <c r="G167" s="23">
        <f>G166 / K166</f>
        <v>0.26082792185966469</v>
      </c>
      <c r="H167" s="8"/>
      <c r="I167" s="23">
        <f>I166 / K166</f>
        <v>4.2727651622097636E-2</v>
      </c>
      <c r="J167" s="8"/>
      <c r="K167" s="23">
        <f>K166 / K166</f>
        <v>1</v>
      </c>
    </row>
    <row r="168" spans="2:12" x14ac:dyDescent="0.3">
      <c r="B168" s="40"/>
      <c r="C168" s="41"/>
      <c r="D168" s="15"/>
      <c r="E168" s="41"/>
      <c r="F168" s="15"/>
      <c r="G168" s="41"/>
      <c r="H168" s="15"/>
      <c r="I168" s="41"/>
      <c r="J168" s="15"/>
      <c r="K168" s="41"/>
    </row>
    <row r="170" spans="2:12" x14ac:dyDescent="0.3">
      <c r="B170" s="11" t="s">
        <v>270</v>
      </c>
      <c r="C170" s="12"/>
      <c r="D170" s="12"/>
      <c r="E170" s="12"/>
      <c r="F170" s="12"/>
      <c r="G170" s="12"/>
      <c r="H170" s="12"/>
      <c r="I170" s="12"/>
      <c r="J170" s="12"/>
      <c r="K170" s="12"/>
    </row>
    <row r="171" spans="2:12" x14ac:dyDescent="0.3">
      <c r="B171" s="12"/>
      <c r="C171" s="12"/>
      <c r="D171" s="12"/>
      <c r="E171" s="61" t="s">
        <v>265</v>
      </c>
      <c r="F171" s="61"/>
      <c r="G171" s="61"/>
      <c r="H171" s="61"/>
      <c r="I171" s="61"/>
      <c r="J171" s="61"/>
      <c r="K171" s="12"/>
    </row>
    <row r="172" spans="2:12" s="6" customFormat="1" ht="75" customHeight="1" x14ac:dyDescent="0.3">
      <c r="B172" s="20" t="s">
        <v>188</v>
      </c>
      <c r="C172" s="20" t="s">
        <v>75</v>
      </c>
      <c r="D172" s="20"/>
      <c r="E172" s="20" t="s">
        <v>4</v>
      </c>
      <c r="F172" s="20"/>
      <c r="G172" s="20" t="s">
        <v>5</v>
      </c>
      <c r="H172" s="20"/>
      <c r="I172" s="20" t="s">
        <v>6</v>
      </c>
      <c r="J172" s="20"/>
      <c r="K172" s="21" t="s">
        <v>224</v>
      </c>
      <c r="L172" s="37"/>
    </row>
    <row r="173" spans="2:12" x14ac:dyDescent="0.3">
      <c r="B173" s="9" t="s">
        <v>12</v>
      </c>
      <c r="C173" s="9">
        <v>6814</v>
      </c>
      <c r="D173" s="22">
        <f>IF(104491&gt;0,C173 / K173,0)</f>
        <v>6.5211357915992765E-2</v>
      </c>
      <c r="E173" s="9">
        <v>37121</v>
      </c>
      <c r="F173" s="22">
        <f>IF(104491&gt;0,E173 / K173,0)</f>
        <v>0.35525547654821948</v>
      </c>
      <c r="G173" s="9">
        <v>57485</v>
      </c>
      <c r="H173" s="22">
        <f>IF(104491&gt;0,G173 / K173,0)</f>
        <v>0.55014307452316469</v>
      </c>
      <c r="I173" s="9">
        <v>3071</v>
      </c>
      <c r="J173" s="22">
        <f>IF(104491&gt;0,I173 / K173,0)</f>
        <v>2.9390091012623097E-2</v>
      </c>
      <c r="K173" s="9">
        <f t="shared" ref="K173:K186" si="4">C173+E173+G173+I173</f>
        <v>104491</v>
      </c>
      <c r="L173" s="36"/>
    </row>
    <row r="174" spans="2:12" x14ac:dyDescent="0.3">
      <c r="B174" s="9" t="s">
        <v>13</v>
      </c>
      <c r="C174" s="9">
        <v>12923</v>
      </c>
      <c r="D174" s="22">
        <f>IF(132253&gt;0,C174 / K174,0)</f>
        <v>9.7714229544887454E-2</v>
      </c>
      <c r="E174" s="9">
        <v>79652</v>
      </c>
      <c r="F174" s="22">
        <f>IF(132253&gt;0,E174 / K174,0)</f>
        <v>0.60226989179829571</v>
      </c>
      <c r="G174" s="9">
        <v>36217</v>
      </c>
      <c r="H174" s="22">
        <f>IF(132253&gt;0,G174 / K174,0)</f>
        <v>0.27384633996960372</v>
      </c>
      <c r="I174" s="9">
        <v>3461</v>
      </c>
      <c r="J174" s="22">
        <f>IF(132253&gt;0,I174 / K174,0)</f>
        <v>2.6169538687213143E-2</v>
      </c>
      <c r="K174" s="9">
        <f t="shared" si="4"/>
        <v>132253</v>
      </c>
      <c r="L174" s="36"/>
    </row>
    <row r="175" spans="2:12" x14ac:dyDescent="0.3">
      <c r="B175" s="9" t="s">
        <v>14</v>
      </c>
      <c r="C175" s="9">
        <v>26135</v>
      </c>
      <c r="D175" s="22">
        <f>IF(220805&gt;0,C175 / K175,0)</f>
        <v>0.11836235592491112</v>
      </c>
      <c r="E175" s="9">
        <v>125658</v>
      </c>
      <c r="F175" s="22">
        <f>IF(220805&gt;0,E175 / K175,0)</f>
        <v>0.56909037385928762</v>
      </c>
      <c r="G175" s="9">
        <v>60935</v>
      </c>
      <c r="H175" s="22">
        <f>IF(220805&gt;0,G175 / K175,0)</f>
        <v>0.27596748262041165</v>
      </c>
      <c r="I175" s="9">
        <v>8077</v>
      </c>
      <c r="J175" s="22">
        <f>IF(220805&gt;0,I175 / K175,0)</f>
        <v>3.6579787595389594E-2</v>
      </c>
      <c r="K175" s="9">
        <f t="shared" si="4"/>
        <v>220805</v>
      </c>
      <c r="L175" s="36"/>
    </row>
    <row r="176" spans="2:12" x14ac:dyDescent="0.3">
      <c r="B176" s="9" t="s">
        <v>15</v>
      </c>
      <c r="C176" s="9">
        <v>711</v>
      </c>
      <c r="D176" s="22">
        <f>IF(16824&gt;0,C176 / K176,0)</f>
        <v>4.2261055634807421E-2</v>
      </c>
      <c r="E176" s="9">
        <v>11777</v>
      </c>
      <c r="F176" s="22">
        <f>IF(16824&gt;0,E176 / K176,0)</f>
        <v>0.70001188777936285</v>
      </c>
      <c r="G176" s="9">
        <v>3846</v>
      </c>
      <c r="H176" s="22">
        <f>IF(16824&gt;0,G176 / K176,0)</f>
        <v>0.22860199714693294</v>
      </c>
      <c r="I176" s="9">
        <v>490</v>
      </c>
      <c r="J176" s="22">
        <f>IF(16824&gt;0,I176 / K176,0)</f>
        <v>2.9125059438896813E-2</v>
      </c>
      <c r="K176" s="9">
        <f t="shared" si="4"/>
        <v>16824</v>
      </c>
      <c r="L176" s="36"/>
    </row>
    <row r="177" spans="2:12" x14ac:dyDescent="0.3">
      <c r="B177" s="9" t="s">
        <v>16</v>
      </c>
      <c r="C177" s="9">
        <v>2510</v>
      </c>
      <c r="D177" s="22">
        <f>IF(38602&gt;0,C177 / K177,0)</f>
        <v>6.5022537692347546E-2</v>
      </c>
      <c r="E177" s="9">
        <v>21116</v>
      </c>
      <c r="F177" s="22">
        <f>IF(38602&gt;0,E177 / K177,0)</f>
        <v>0.54701828920781304</v>
      </c>
      <c r="G177" s="9">
        <v>14343</v>
      </c>
      <c r="H177" s="22">
        <f>IF(38602&gt;0,G177 / K177,0)</f>
        <v>0.37156105901248637</v>
      </c>
      <c r="I177" s="9">
        <v>633</v>
      </c>
      <c r="J177" s="22">
        <f>IF(38602&gt;0,I177 / K177,0)</f>
        <v>1.6398114087352988E-2</v>
      </c>
      <c r="K177" s="9">
        <f t="shared" si="4"/>
        <v>38602</v>
      </c>
      <c r="L177" s="36"/>
    </row>
    <row r="178" spans="2:12" x14ac:dyDescent="0.3">
      <c r="B178" s="9" t="s">
        <v>17</v>
      </c>
      <c r="C178" s="9">
        <v>312</v>
      </c>
      <c r="D178" s="22">
        <f>IF(19376&gt;0,C178 / K178,0)</f>
        <v>1.6102394715111479E-2</v>
      </c>
      <c r="E178" s="9">
        <v>15061</v>
      </c>
      <c r="F178" s="22">
        <f>IF(19376&gt;0,E178 / K178,0)</f>
        <v>0.77730181668042941</v>
      </c>
      <c r="G178" s="9">
        <v>3879</v>
      </c>
      <c r="H178" s="22">
        <f>IF(19376&gt;0,G178 / K178,0)</f>
        <v>0.20019611890999175</v>
      </c>
      <c r="I178" s="9">
        <v>124</v>
      </c>
      <c r="J178" s="22">
        <f>IF(19376&gt;0,I178 / K178,0)</f>
        <v>6.3996696944673822E-3</v>
      </c>
      <c r="K178" s="9">
        <f t="shared" si="4"/>
        <v>19376</v>
      </c>
      <c r="L178" s="36"/>
    </row>
    <row r="179" spans="2:12" x14ac:dyDescent="0.3">
      <c r="B179" s="9" t="s">
        <v>18</v>
      </c>
      <c r="C179" s="9">
        <v>11698</v>
      </c>
      <c r="D179" s="22">
        <f>IF(188189&gt;0,C179 / K179,0)</f>
        <v>6.2160912699467025E-2</v>
      </c>
      <c r="E179" s="9">
        <v>116759</v>
      </c>
      <c r="F179" s="22">
        <f>IF(188189&gt;0,E179 / K179,0)</f>
        <v>0.62043477567764327</v>
      </c>
      <c r="G179" s="9">
        <v>53895</v>
      </c>
      <c r="H179" s="22">
        <f>IF(188189&gt;0,G179 / K179,0)</f>
        <v>0.28638762095552878</v>
      </c>
      <c r="I179" s="9">
        <v>5837</v>
      </c>
      <c r="J179" s="22">
        <f>IF(188189&gt;0,I179 / K179,0)</f>
        <v>3.1016690667361003E-2</v>
      </c>
      <c r="K179" s="9">
        <f t="shared" si="4"/>
        <v>188189</v>
      </c>
      <c r="L179" s="36"/>
    </row>
    <row r="180" spans="2:12" x14ac:dyDescent="0.3">
      <c r="B180" s="9" t="s">
        <v>19</v>
      </c>
      <c r="C180" s="9">
        <v>1425</v>
      </c>
      <c r="D180" s="22">
        <f>IF(37428&gt;0,C180 / K180,0)</f>
        <v>3.8073100352677143E-2</v>
      </c>
      <c r="E180" s="9">
        <v>26508</v>
      </c>
      <c r="F180" s="22">
        <f>IF(37428&gt;0,E180 / K180,0)</f>
        <v>0.70823982045527412</v>
      </c>
      <c r="G180" s="9">
        <v>9346</v>
      </c>
      <c r="H180" s="22">
        <f>IF(37428&gt;0,G180 / K180,0)</f>
        <v>0.24970610238324248</v>
      </c>
      <c r="I180" s="9">
        <v>149</v>
      </c>
      <c r="J180" s="22">
        <f>IF(37428&gt;0,I180 / K180,0)</f>
        <v>3.9809768088062414E-3</v>
      </c>
      <c r="K180" s="9">
        <f t="shared" si="4"/>
        <v>37428</v>
      </c>
      <c r="L180" s="36"/>
    </row>
    <row r="181" spans="2:12" x14ac:dyDescent="0.3">
      <c r="B181" s="9" t="s">
        <v>106</v>
      </c>
      <c r="C181" s="9">
        <v>782</v>
      </c>
      <c r="D181" s="22">
        <f>IF(16295&gt;0,C181 / K181,0)</f>
        <v>4.7990181037127953E-2</v>
      </c>
      <c r="E181" s="9">
        <v>11734</v>
      </c>
      <c r="F181" s="22">
        <f>IF(16295&gt;0,E181 / K181,0)</f>
        <v>0.72009818962872052</v>
      </c>
      <c r="G181" s="9">
        <v>3310</v>
      </c>
      <c r="H181" s="22">
        <f>IF(16295&gt;0,G181 / K181,0)</f>
        <v>0.20312979441546486</v>
      </c>
      <c r="I181" s="9">
        <v>469</v>
      </c>
      <c r="J181" s="22">
        <f>IF(16295&gt;0,I181 / K181,0)</f>
        <v>2.8781834918686713E-2</v>
      </c>
      <c r="K181" s="9">
        <f t="shared" si="4"/>
        <v>16295</v>
      </c>
      <c r="L181" s="36"/>
    </row>
    <row r="182" spans="2:12" x14ac:dyDescent="0.3">
      <c r="B182" s="9" t="s">
        <v>20</v>
      </c>
      <c r="C182" s="9">
        <v>3308</v>
      </c>
      <c r="D182" s="22">
        <f>IF(57252&gt;0,C182 / K182,0)</f>
        <v>5.7779640885907917E-2</v>
      </c>
      <c r="E182" s="9">
        <v>33992</v>
      </c>
      <c r="F182" s="22">
        <f>IF(57252&gt;0,E182 / K182,0)</f>
        <v>0.59372598337175997</v>
      </c>
      <c r="G182" s="9">
        <v>18357</v>
      </c>
      <c r="H182" s="22">
        <f>IF(57252&gt;0,G182 / K182,0)</f>
        <v>0.32063508698386084</v>
      </c>
      <c r="I182" s="9">
        <v>1595</v>
      </c>
      <c r="J182" s="22">
        <f>IF(57252&gt;0,I182 / K182,0)</f>
        <v>2.785928875847132E-2</v>
      </c>
      <c r="K182" s="9">
        <f t="shared" si="4"/>
        <v>57252</v>
      </c>
      <c r="L182" s="36"/>
    </row>
    <row r="183" spans="2:12" x14ac:dyDescent="0.3">
      <c r="B183" s="9" t="s">
        <v>69</v>
      </c>
      <c r="C183" s="9">
        <v>64</v>
      </c>
      <c r="D183" s="22">
        <f>IF(24155&gt;0,C183 / K183,0)</f>
        <v>2.6495549575657213E-3</v>
      </c>
      <c r="E183" s="9">
        <v>20278</v>
      </c>
      <c r="F183" s="22">
        <f>IF(24155&gt;0,E183 / K183,0)</f>
        <v>0.839494928586214</v>
      </c>
      <c r="G183" s="9">
        <v>1586</v>
      </c>
      <c r="H183" s="22">
        <f>IF(24155&gt;0,G183 / K183,0)</f>
        <v>6.5659283792175532E-2</v>
      </c>
      <c r="I183" s="9">
        <v>2227</v>
      </c>
      <c r="J183" s="22">
        <f>IF(24155&gt;0,I183 / K183,0)</f>
        <v>9.2196232664044711E-2</v>
      </c>
      <c r="K183" s="9">
        <f t="shared" si="4"/>
        <v>24155</v>
      </c>
      <c r="L183" s="36"/>
    </row>
    <row r="184" spans="2:12" x14ac:dyDescent="0.3">
      <c r="B184" s="9" t="s">
        <v>21</v>
      </c>
      <c r="C184" s="9">
        <v>11380</v>
      </c>
      <c r="D184" s="22">
        <f>IF(141330&gt;0,C184 / K184,0)</f>
        <v>8.0520766999221685E-2</v>
      </c>
      <c r="E184" s="9">
        <v>109898</v>
      </c>
      <c r="F184" s="22">
        <f>IF(141330&gt;0,E184 / K184,0)</f>
        <v>0.77759852826717613</v>
      </c>
      <c r="G184" s="9">
        <v>18943</v>
      </c>
      <c r="H184" s="22">
        <f>IF(141330&gt;0,G184 / K184,0)</f>
        <v>0.1340338215523951</v>
      </c>
      <c r="I184" s="9">
        <v>1109</v>
      </c>
      <c r="J184" s="22">
        <f>IF(141330&gt;0,I184 / K184,0)</f>
        <v>7.8468831812071038E-3</v>
      </c>
      <c r="K184" s="9">
        <f t="shared" si="4"/>
        <v>141330</v>
      </c>
      <c r="L184" s="36"/>
    </row>
    <row r="185" spans="2:12" x14ac:dyDescent="0.3">
      <c r="B185" s="9" t="s">
        <v>107</v>
      </c>
      <c r="C185" s="9">
        <v>986</v>
      </c>
      <c r="D185" s="22">
        <f>IF(23444&gt;0,C185 / K185,0)</f>
        <v>4.2057669339703126E-2</v>
      </c>
      <c r="E185" s="9">
        <v>20566</v>
      </c>
      <c r="F185" s="22">
        <f>IF(23444&gt;0,E185 / K185,0)</f>
        <v>0.87723937894557247</v>
      </c>
      <c r="G185" s="9">
        <v>1806</v>
      </c>
      <c r="H185" s="22">
        <f>IF(23444&gt;0,G185 / K185,0)</f>
        <v>7.7034635727691522E-2</v>
      </c>
      <c r="I185" s="9">
        <v>86</v>
      </c>
      <c r="J185" s="22">
        <f>IF(23444&gt;0,I185 / K185,0)</f>
        <v>3.6683159870329295E-3</v>
      </c>
      <c r="K185" s="9">
        <f t="shared" si="4"/>
        <v>23444</v>
      </c>
      <c r="L185" s="36"/>
    </row>
    <row r="186" spans="2:12" ht="15" thickBot="1" x14ac:dyDescent="0.35">
      <c r="B186" s="28" t="s">
        <v>108</v>
      </c>
      <c r="C186" s="28">
        <v>16</v>
      </c>
      <c r="D186" s="39">
        <f>IF(17487&gt;0,C186 / K186,0)</f>
        <v>9.1496540287070393E-4</v>
      </c>
      <c r="E186" s="28">
        <v>12179</v>
      </c>
      <c r="F186" s="39">
        <f>IF(17487&gt;0,E186 / K186,0)</f>
        <v>0.69646022759764392</v>
      </c>
      <c r="G186" s="28">
        <v>5218</v>
      </c>
      <c r="H186" s="39">
        <f>IF(17487&gt;0,G186 / K186,0)</f>
        <v>0.29839309201120834</v>
      </c>
      <c r="I186" s="28">
        <v>74</v>
      </c>
      <c r="J186" s="39">
        <f>IF(17487&gt;0,I186 / K186,0)</f>
        <v>4.2317149882770055E-3</v>
      </c>
      <c r="K186" s="28">
        <f t="shared" si="4"/>
        <v>17487</v>
      </c>
      <c r="L186" s="36"/>
    </row>
    <row r="187" spans="2:12" x14ac:dyDescent="0.3">
      <c r="B187" s="27" t="s">
        <v>269</v>
      </c>
      <c r="C187" s="27">
        <f>SUM(C173:C186)</f>
        <v>79064</v>
      </c>
      <c r="D187" s="27"/>
      <c r="E187" s="27">
        <f>SUM(E173:E186)</f>
        <v>642299</v>
      </c>
      <c r="F187" s="27"/>
      <c r="G187" s="27">
        <f>SUM(G173:G186)</f>
        <v>289166</v>
      </c>
      <c r="H187" s="27"/>
      <c r="I187" s="27">
        <f>SUM(I173:I186)</f>
        <v>27402</v>
      </c>
      <c r="J187" s="27"/>
      <c r="K187" s="27">
        <f>SUM(K173:K186)</f>
        <v>1037931</v>
      </c>
    </row>
    <row r="188" spans="2:12" x14ac:dyDescent="0.3">
      <c r="B188" s="38" t="s">
        <v>226</v>
      </c>
      <c r="C188" s="23">
        <f>C187 / K187</f>
        <v>7.6174620470917623E-2</v>
      </c>
      <c r="D188" s="8"/>
      <c r="E188" s="23">
        <f>E187 / K187</f>
        <v>0.61882629962878077</v>
      </c>
      <c r="F188" s="8"/>
      <c r="G188" s="23">
        <f>G187 / K187</f>
        <v>0.27859848101656082</v>
      </c>
      <c r="H188" s="8"/>
      <c r="I188" s="23">
        <f>I187 / K187</f>
        <v>2.6400598883740828E-2</v>
      </c>
      <c r="J188" s="8"/>
      <c r="K188" s="23">
        <f>K187 / K187</f>
        <v>1</v>
      </c>
    </row>
    <row r="190" spans="2:12" x14ac:dyDescent="0.3">
      <c r="B190" s="11" t="s">
        <v>275</v>
      </c>
      <c r="C190" s="12"/>
      <c r="D190" s="12"/>
      <c r="E190" s="12"/>
      <c r="F190" s="12"/>
      <c r="G190" s="12"/>
      <c r="H190" s="12"/>
      <c r="I190" s="12"/>
      <c r="J190" s="12"/>
      <c r="K190" s="12"/>
    </row>
    <row r="191" spans="2:12" x14ac:dyDescent="0.3">
      <c r="B191" s="12"/>
      <c r="C191" s="12"/>
      <c r="D191" s="12"/>
      <c r="E191" s="61" t="s">
        <v>265</v>
      </c>
      <c r="F191" s="61"/>
      <c r="G191" s="61"/>
      <c r="H191" s="61"/>
      <c r="I191" s="61"/>
      <c r="J191" s="61"/>
      <c r="K191" s="12"/>
    </row>
    <row r="192" spans="2:12" s="6" customFormat="1" ht="75" customHeight="1" x14ac:dyDescent="0.3">
      <c r="B192" s="20" t="s">
        <v>1</v>
      </c>
      <c r="C192" s="20" t="s">
        <v>75</v>
      </c>
      <c r="D192" s="20"/>
      <c r="E192" s="20" t="s">
        <v>4</v>
      </c>
      <c r="F192" s="20"/>
      <c r="G192" s="20" t="s">
        <v>5</v>
      </c>
      <c r="H192" s="20"/>
      <c r="I192" s="20" t="s">
        <v>6</v>
      </c>
      <c r="J192" s="20"/>
      <c r="K192" s="21" t="s">
        <v>224</v>
      </c>
      <c r="L192" s="37"/>
    </row>
    <row r="193" spans="2:12" x14ac:dyDescent="0.3">
      <c r="B193" s="9" t="s">
        <v>41</v>
      </c>
      <c r="C193" s="9">
        <v>68552</v>
      </c>
      <c r="D193" s="22">
        <f>IF(849470&gt;0,C193 / K193,0)</f>
        <v>8.0699730420144319E-2</v>
      </c>
      <c r="E193" s="9">
        <v>492592</v>
      </c>
      <c r="F193" s="22">
        <f>IF(849470&gt;0,E193 / K193,0)</f>
        <v>0.57988157321624068</v>
      </c>
      <c r="G193" s="9">
        <v>265677</v>
      </c>
      <c r="H193" s="22">
        <f>IF(849470&gt;0,G193 / K193,0)</f>
        <v>0.31275618915323672</v>
      </c>
      <c r="I193" s="9">
        <v>22649</v>
      </c>
      <c r="J193" s="22">
        <f>IF(849470&gt;0,I193 / K193,0)</f>
        <v>2.6662507210378234E-2</v>
      </c>
      <c r="K193" s="9">
        <f t="shared" ref="K193:K233" si="5">C193+E193+G193+I193</f>
        <v>849470</v>
      </c>
      <c r="L193" s="36"/>
    </row>
    <row r="194" spans="2:12" x14ac:dyDescent="0.3">
      <c r="B194" s="9" t="s">
        <v>76</v>
      </c>
      <c r="C194" s="9">
        <v>6188</v>
      </c>
      <c r="D194" s="22">
        <f>IF(28123&gt;0,C194 / K194,0)</f>
        <v>0.22003342459908259</v>
      </c>
      <c r="E194" s="9">
        <v>10119</v>
      </c>
      <c r="F194" s="22">
        <f>IF(28123&gt;0,E194 / K194,0)</f>
        <v>0.35981225331579136</v>
      </c>
      <c r="G194" s="9">
        <v>9917</v>
      </c>
      <c r="H194" s="22">
        <f>IF(28123&gt;0,G194 / K194,0)</f>
        <v>0.35262952032144507</v>
      </c>
      <c r="I194" s="9">
        <v>1899</v>
      </c>
      <c r="J194" s="22">
        <f>IF(28123&gt;0,I194 / K194,0)</f>
        <v>6.7524801763680975E-2</v>
      </c>
      <c r="K194" s="9">
        <f t="shared" si="5"/>
        <v>28123</v>
      </c>
      <c r="L194" s="36"/>
    </row>
    <row r="195" spans="2:12" x14ac:dyDescent="0.3">
      <c r="B195" s="9" t="s">
        <v>42</v>
      </c>
      <c r="C195" s="9">
        <v>8</v>
      </c>
      <c r="D195" s="22">
        <f>IF(386&gt;0,C195 / K195,0)</f>
        <v>2.072538860103627E-2</v>
      </c>
      <c r="E195" s="9">
        <v>186</v>
      </c>
      <c r="F195" s="22">
        <f>IF(386&gt;0,E195 / K195,0)</f>
        <v>0.48186528497409326</v>
      </c>
      <c r="G195" s="9">
        <v>136</v>
      </c>
      <c r="H195" s="22">
        <f>IF(386&gt;0,G195 / K195,0)</f>
        <v>0.35233160621761656</v>
      </c>
      <c r="I195" s="9">
        <v>56</v>
      </c>
      <c r="J195" s="22">
        <f>IF(386&gt;0,I195 / K195,0)</f>
        <v>0.14507772020725387</v>
      </c>
      <c r="K195" s="9">
        <f t="shared" si="5"/>
        <v>386</v>
      </c>
      <c r="L195" s="36"/>
    </row>
    <row r="196" spans="2:12" x14ac:dyDescent="0.3">
      <c r="B196" s="9" t="s">
        <v>43</v>
      </c>
      <c r="C196" s="9">
        <v>0</v>
      </c>
      <c r="D196" s="22">
        <f>IF(754&gt;0,C196 / K196,0)</f>
        <v>0</v>
      </c>
      <c r="E196" s="9">
        <v>537</v>
      </c>
      <c r="F196" s="22">
        <f>IF(754&gt;0,E196 / K196,0)</f>
        <v>0.71220159151193629</v>
      </c>
      <c r="G196" s="9">
        <v>210</v>
      </c>
      <c r="H196" s="22">
        <f>IF(754&gt;0,G196 / K196,0)</f>
        <v>0.27851458885941643</v>
      </c>
      <c r="I196" s="9">
        <v>7</v>
      </c>
      <c r="J196" s="22">
        <f>IF(754&gt;0,I196 / K196,0)</f>
        <v>9.2838196286472146E-3</v>
      </c>
      <c r="K196" s="9">
        <f t="shared" si="5"/>
        <v>754</v>
      </c>
      <c r="L196" s="36"/>
    </row>
    <row r="197" spans="2:12" x14ac:dyDescent="0.3">
      <c r="B197" s="9" t="s">
        <v>44</v>
      </c>
      <c r="C197" s="9">
        <v>0</v>
      </c>
      <c r="D197" s="22">
        <f>IF(0&gt;0,C197 / K197,0)</f>
        <v>0</v>
      </c>
      <c r="E197" s="9">
        <v>0</v>
      </c>
      <c r="F197" s="22">
        <f>IF(0&gt;0,E197 / K197,0)</f>
        <v>0</v>
      </c>
      <c r="G197" s="9">
        <v>0</v>
      </c>
      <c r="H197" s="22">
        <f>IF(0&gt;0,G197 / K197,0)</f>
        <v>0</v>
      </c>
      <c r="I197" s="9">
        <v>0</v>
      </c>
      <c r="J197" s="22">
        <f>IF(0&gt;0,I197 / K197,0)</f>
        <v>0</v>
      </c>
      <c r="K197" s="9">
        <f t="shared" si="5"/>
        <v>0</v>
      </c>
      <c r="L197" s="36"/>
    </row>
    <row r="198" spans="2:12" x14ac:dyDescent="0.3">
      <c r="B198" s="9" t="s">
        <v>45</v>
      </c>
      <c r="C198" s="9">
        <v>48</v>
      </c>
      <c r="D198" s="22">
        <f>IF(771&gt;0,C198 / K198,0)</f>
        <v>6.2256809338521402E-2</v>
      </c>
      <c r="E198" s="9">
        <v>239</v>
      </c>
      <c r="F198" s="22">
        <f>IF(771&gt;0,E198 / K198,0)</f>
        <v>0.30998702983138782</v>
      </c>
      <c r="G198" s="9">
        <v>472</v>
      </c>
      <c r="H198" s="22">
        <f>IF(771&gt;0,G198 / K198,0)</f>
        <v>0.61219195849546049</v>
      </c>
      <c r="I198" s="9">
        <v>12</v>
      </c>
      <c r="J198" s="22">
        <f>IF(771&gt;0,I198 / K198,0)</f>
        <v>1.556420233463035E-2</v>
      </c>
      <c r="K198" s="9">
        <f t="shared" si="5"/>
        <v>771</v>
      </c>
      <c r="L198" s="36"/>
    </row>
    <row r="199" spans="2:12" x14ac:dyDescent="0.3">
      <c r="B199" s="9" t="s">
        <v>207</v>
      </c>
      <c r="C199" s="9">
        <v>18</v>
      </c>
      <c r="D199" s="22">
        <f>IF(2615&gt;0,C199 / K199,0)</f>
        <v>6.8833652007648186E-3</v>
      </c>
      <c r="E199" s="9">
        <v>2076</v>
      </c>
      <c r="F199" s="22">
        <f>IF(2615&gt;0,E199 / K199,0)</f>
        <v>0.79388145315487568</v>
      </c>
      <c r="G199" s="9">
        <v>496</v>
      </c>
      <c r="H199" s="22">
        <f>IF(2615&gt;0,G199 / K199,0)</f>
        <v>0.18967495219885278</v>
      </c>
      <c r="I199" s="9">
        <v>25</v>
      </c>
      <c r="J199" s="22">
        <f>IF(2615&gt;0,I199 / K199,0)</f>
        <v>9.5602294455066923E-3</v>
      </c>
      <c r="K199" s="9">
        <f t="shared" si="5"/>
        <v>2615</v>
      </c>
      <c r="L199" s="36"/>
    </row>
    <row r="200" spans="2:12" x14ac:dyDescent="0.3">
      <c r="B200" s="9" t="s">
        <v>46</v>
      </c>
      <c r="C200" s="9">
        <v>52</v>
      </c>
      <c r="D200" s="22">
        <f>IF(485&gt;0,C200 / K200,0)</f>
        <v>0.10721649484536082</v>
      </c>
      <c r="E200" s="9">
        <v>209</v>
      </c>
      <c r="F200" s="22">
        <f>IF(485&gt;0,E200 / K200,0)</f>
        <v>0.43092783505154642</v>
      </c>
      <c r="G200" s="9">
        <v>218</v>
      </c>
      <c r="H200" s="22">
        <f>IF(485&gt;0,G200 / K200,0)</f>
        <v>0.44948453608247424</v>
      </c>
      <c r="I200" s="9">
        <v>6</v>
      </c>
      <c r="J200" s="22">
        <f>IF(485&gt;0,I200 / K200,0)</f>
        <v>1.2371134020618556E-2</v>
      </c>
      <c r="K200" s="9">
        <f t="shared" si="5"/>
        <v>485</v>
      </c>
      <c r="L200" s="36"/>
    </row>
    <row r="201" spans="2:12" x14ac:dyDescent="0.3">
      <c r="B201" s="9" t="s">
        <v>47</v>
      </c>
      <c r="C201" s="9">
        <v>8</v>
      </c>
      <c r="D201" s="22">
        <f>IF(68&gt;0,C201 / K201,0)</f>
        <v>0.11764705882352941</v>
      </c>
      <c r="E201" s="9">
        <v>56</v>
      </c>
      <c r="F201" s="22">
        <f>IF(68&gt;0,E201 / K201,0)</f>
        <v>0.82352941176470584</v>
      </c>
      <c r="G201" s="9">
        <v>4</v>
      </c>
      <c r="H201" s="22">
        <f>IF(68&gt;0,G201 / K201,0)</f>
        <v>5.8823529411764705E-2</v>
      </c>
      <c r="I201" s="9">
        <v>0</v>
      </c>
      <c r="J201" s="22">
        <f>IF(68&gt;0,I201 / K201,0)</f>
        <v>0</v>
      </c>
      <c r="K201" s="9">
        <f t="shared" si="5"/>
        <v>68</v>
      </c>
      <c r="L201" s="36"/>
    </row>
    <row r="202" spans="2:12" x14ac:dyDescent="0.3">
      <c r="B202" s="9" t="s">
        <v>48</v>
      </c>
      <c r="C202" s="9">
        <v>0</v>
      </c>
      <c r="D202" s="22">
        <f>IF(190&gt;0,C202 / K202,0)</f>
        <v>0</v>
      </c>
      <c r="E202" s="9">
        <v>188</v>
      </c>
      <c r="F202" s="22">
        <f>IF(190&gt;0,E202 / K202,0)</f>
        <v>0.98947368421052628</v>
      </c>
      <c r="G202" s="9">
        <v>2</v>
      </c>
      <c r="H202" s="22">
        <f>IF(190&gt;0,G202 / K202,0)</f>
        <v>1.0526315789473684E-2</v>
      </c>
      <c r="I202" s="9">
        <v>0</v>
      </c>
      <c r="J202" s="22">
        <f>IF(190&gt;0,I202 / K202,0)</f>
        <v>0</v>
      </c>
      <c r="K202" s="9">
        <f t="shared" si="5"/>
        <v>190</v>
      </c>
      <c r="L202" s="36"/>
    </row>
    <row r="203" spans="2:12" x14ac:dyDescent="0.3">
      <c r="B203" s="9" t="s">
        <v>49</v>
      </c>
      <c r="C203" s="9">
        <v>3</v>
      </c>
      <c r="D203" s="22">
        <f>IF(79&gt;0,C203 / K203,0)</f>
        <v>3.7974683544303799E-2</v>
      </c>
      <c r="E203" s="9">
        <v>26</v>
      </c>
      <c r="F203" s="22">
        <f>IF(79&gt;0,E203 / K203,0)</f>
        <v>0.32911392405063289</v>
      </c>
      <c r="G203" s="9">
        <v>40</v>
      </c>
      <c r="H203" s="22">
        <f>IF(79&gt;0,G203 / K203,0)</f>
        <v>0.50632911392405067</v>
      </c>
      <c r="I203" s="9">
        <v>10</v>
      </c>
      <c r="J203" s="22">
        <f>IF(79&gt;0,I203 / K203,0)</f>
        <v>0.12658227848101267</v>
      </c>
      <c r="K203" s="9">
        <f t="shared" si="5"/>
        <v>79</v>
      </c>
      <c r="L203" s="36"/>
    </row>
    <row r="204" spans="2:12" x14ac:dyDescent="0.3">
      <c r="B204" s="9" t="s">
        <v>208</v>
      </c>
      <c r="C204" s="9">
        <v>0</v>
      </c>
      <c r="D204" s="22">
        <f>IF(9&gt;0,C204 / K204,0)</f>
        <v>0</v>
      </c>
      <c r="E204" s="9">
        <v>9</v>
      </c>
      <c r="F204" s="22">
        <f>IF(9&gt;0,E204 / K204,0)</f>
        <v>1</v>
      </c>
      <c r="G204" s="9">
        <v>0</v>
      </c>
      <c r="H204" s="22">
        <f>IF(9&gt;0,G204 / K204,0)</f>
        <v>0</v>
      </c>
      <c r="I204" s="9">
        <v>0</v>
      </c>
      <c r="J204" s="22">
        <f>IF(9&gt;0,I204 / K204,0)</f>
        <v>0</v>
      </c>
      <c r="K204" s="9">
        <f t="shared" si="5"/>
        <v>9</v>
      </c>
      <c r="L204" s="36"/>
    </row>
    <row r="205" spans="2:12" x14ac:dyDescent="0.3">
      <c r="B205" s="9" t="s">
        <v>50</v>
      </c>
      <c r="C205" s="9">
        <v>0</v>
      </c>
      <c r="D205" s="22">
        <f>IF(1047&gt;0,C205 / K205,0)</f>
        <v>0</v>
      </c>
      <c r="E205" s="9">
        <v>1047</v>
      </c>
      <c r="F205" s="22">
        <f>IF(1047&gt;0,E205 / K205,0)</f>
        <v>1</v>
      </c>
      <c r="G205" s="9">
        <v>0</v>
      </c>
      <c r="H205" s="22">
        <f>IF(1047&gt;0,G205 / K205,0)</f>
        <v>0</v>
      </c>
      <c r="I205" s="9">
        <v>0</v>
      </c>
      <c r="J205" s="22">
        <f>IF(1047&gt;0,I205 / K205,0)</f>
        <v>0</v>
      </c>
      <c r="K205" s="9">
        <f t="shared" si="5"/>
        <v>1047</v>
      </c>
      <c r="L205" s="36"/>
    </row>
    <row r="206" spans="2:12" x14ac:dyDescent="0.3">
      <c r="B206" s="9" t="s">
        <v>51</v>
      </c>
      <c r="C206" s="9">
        <v>487</v>
      </c>
      <c r="D206" s="22">
        <f>IF(2574&gt;0,C206 / K206,0)</f>
        <v>0.18919968919968919</v>
      </c>
      <c r="E206" s="9">
        <v>1862</v>
      </c>
      <c r="F206" s="22">
        <f>IF(2574&gt;0,E206 / K206,0)</f>
        <v>0.72338772338772339</v>
      </c>
      <c r="G206" s="9">
        <v>139</v>
      </c>
      <c r="H206" s="22">
        <f>IF(2574&gt;0,G206 / K206,0)</f>
        <v>5.4001554001554E-2</v>
      </c>
      <c r="I206" s="9">
        <v>86</v>
      </c>
      <c r="J206" s="22">
        <f>IF(2574&gt;0,I206 / K206,0)</f>
        <v>3.3411033411033408E-2</v>
      </c>
      <c r="K206" s="9">
        <f t="shared" si="5"/>
        <v>2574</v>
      </c>
      <c r="L206" s="36"/>
    </row>
    <row r="207" spans="2:12" x14ac:dyDescent="0.3">
      <c r="B207" s="9" t="s">
        <v>52</v>
      </c>
      <c r="C207" s="9">
        <v>0</v>
      </c>
      <c r="D207" s="22">
        <f>IF(78&gt;0,C207 / K207,0)</f>
        <v>0</v>
      </c>
      <c r="E207" s="9">
        <v>78</v>
      </c>
      <c r="F207" s="22">
        <f>IF(78&gt;0,E207 / K207,0)</f>
        <v>1</v>
      </c>
      <c r="G207" s="9">
        <v>0</v>
      </c>
      <c r="H207" s="22">
        <f>IF(78&gt;0,G207 / K207,0)</f>
        <v>0</v>
      </c>
      <c r="I207" s="9">
        <v>0</v>
      </c>
      <c r="J207" s="22">
        <f>IF(78&gt;0,I207 / K207,0)</f>
        <v>0</v>
      </c>
      <c r="K207" s="9">
        <f t="shared" si="5"/>
        <v>78</v>
      </c>
      <c r="L207" s="36"/>
    </row>
    <row r="208" spans="2:12" x14ac:dyDescent="0.3">
      <c r="B208" s="9" t="s">
        <v>53</v>
      </c>
      <c r="C208" s="9">
        <v>10</v>
      </c>
      <c r="D208" s="22">
        <f>IF(51&gt;0,C208 / K208,0)</f>
        <v>0.19607843137254902</v>
      </c>
      <c r="E208" s="9">
        <v>23</v>
      </c>
      <c r="F208" s="22">
        <f>IF(51&gt;0,E208 / K208,0)</f>
        <v>0.45098039215686275</v>
      </c>
      <c r="G208" s="9">
        <v>18</v>
      </c>
      <c r="H208" s="22">
        <f>IF(51&gt;0,G208 / K208,0)</f>
        <v>0.35294117647058826</v>
      </c>
      <c r="I208" s="9">
        <v>0</v>
      </c>
      <c r="J208" s="22">
        <f>IF(51&gt;0,I208 / K208,0)</f>
        <v>0</v>
      </c>
      <c r="K208" s="9">
        <f t="shared" si="5"/>
        <v>51</v>
      </c>
      <c r="L208" s="36"/>
    </row>
    <row r="209" spans="2:12" x14ac:dyDescent="0.3">
      <c r="B209" s="9" t="s">
        <v>54</v>
      </c>
      <c r="C209" s="9">
        <v>0</v>
      </c>
      <c r="D209" s="22">
        <f>IF(2157&gt;0,C209 / K209,0)</f>
        <v>0</v>
      </c>
      <c r="E209" s="9">
        <v>2127</v>
      </c>
      <c r="F209" s="22">
        <f>IF(2157&gt;0,E209 / K209,0)</f>
        <v>0.98609179415855353</v>
      </c>
      <c r="G209" s="9">
        <v>30</v>
      </c>
      <c r="H209" s="22">
        <f>IF(2157&gt;0,G209 / K209,0)</f>
        <v>1.3908205841446454E-2</v>
      </c>
      <c r="I209" s="9">
        <v>0</v>
      </c>
      <c r="J209" s="22">
        <f>IF(2157&gt;0,I209 / K209,0)</f>
        <v>0</v>
      </c>
      <c r="K209" s="9">
        <f t="shared" si="5"/>
        <v>2157</v>
      </c>
      <c r="L209" s="36"/>
    </row>
    <row r="210" spans="2:12" x14ac:dyDescent="0.3">
      <c r="B210" s="9" t="s">
        <v>55</v>
      </c>
      <c r="C210" s="9">
        <v>0</v>
      </c>
      <c r="D210" s="22">
        <f>IF(4&gt;0,C210 / K210,0)</f>
        <v>0</v>
      </c>
      <c r="E210" s="9">
        <v>4</v>
      </c>
      <c r="F210" s="22">
        <f>IF(4&gt;0,E210 / K210,0)</f>
        <v>1</v>
      </c>
      <c r="G210" s="9">
        <v>0</v>
      </c>
      <c r="H210" s="22">
        <f>IF(4&gt;0,G210 / K210,0)</f>
        <v>0</v>
      </c>
      <c r="I210" s="9">
        <v>0</v>
      </c>
      <c r="J210" s="22">
        <f>IF(4&gt;0,I210 / K210,0)</f>
        <v>0</v>
      </c>
      <c r="K210" s="9">
        <f t="shared" si="5"/>
        <v>4</v>
      </c>
      <c r="L210" s="36"/>
    </row>
    <row r="211" spans="2:12" x14ac:dyDescent="0.3">
      <c r="B211" s="9" t="s">
        <v>209</v>
      </c>
      <c r="C211" s="9">
        <v>0</v>
      </c>
      <c r="D211" s="22">
        <f>IF(14&gt;0,C211 / K211,0)</f>
        <v>0</v>
      </c>
      <c r="E211" s="9">
        <v>1</v>
      </c>
      <c r="F211" s="22">
        <f>IF(14&gt;0,E211 / K211,0)</f>
        <v>7.1428571428571425E-2</v>
      </c>
      <c r="G211" s="9">
        <v>13</v>
      </c>
      <c r="H211" s="22">
        <f>IF(14&gt;0,G211 / K211,0)</f>
        <v>0.9285714285714286</v>
      </c>
      <c r="I211" s="9">
        <v>0</v>
      </c>
      <c r="J211" s="22">
        <f>IF(14&gt;0,I211 / K211,0)</f>
        <v>0</v>
      </c>
      <c r="K211" s="9">
        <f t="shared" si="5"/>
        <v>14</v>
      </c>
      <c r="L211" s="36"/>
    </row>
    <row r="212" spans="2:12" x14ac:dyDescent="0.3">
      <c r="B212" s="9" t="s">
        <v>56</v>
      </c>
      <c r="C212" s="9">
        <v>0</v>
      </c>
      <c r="D212" s="22">
        <f>IF(4&gt;0,C212 / K212,0)</f>
        <v>0</v>
      </c>
      <c r="E212" s="9">
        <v>4</v>
      </c>
      <c r="F212" s="22">
        <f>IF(4&gt;0,E212 / K212,0)</f>
        <v>1</v>
      </c>
      <c r="G212" s="9">
        <v>0</v>
      </c>
      <c r="H212" s="22">
        <f>IF(4&gt;0,G212 / K212,0)</f>
        <v>0</v>
      </c>
      <c r="I212" s="9">
        <v>0</v>
      </c>
      <c r="J212" s="22">
        <f>IF(4&gt;0,I212 / K212,0)</f>
        <v>0</v>
      </c>
      <c r="K212" s="9">
        <f t="shared" si="5"/>
        <v>4</v>
      </c>
      <c r="L212" s="36"/>
    </row>
    <row r="213" spans="2:12" x14ac:dyDescent="0.3">
      <c r="B213" s="9" t="s">
        <v>57</v>
      </c>
      <c r="C213" s="9">
        <v>0</v>
      </c>
      <c r="D213" s="22">
        <f>IF(33&gt;0,C213 / K213,0)</f>
        <v>0</v>
      </c>
      <c r="E213" s="9">
        <v>26</v>
      </c>
      <c r="F213" s="22">
        <f>IF(33&gt;0,E213 / K213,0)</f>
        <v>0.78787878787878785</v>
      </c>
      <c r="G213" s="9">
        <v>7</v>
      </c>
      <c r="H213" s="22">
        <f>IF(33&gt;0,G213 / K213,0)</f>
        <v>0.21212121212121213</v>
      </c>
      <c r="I213" s="9">
        <v>0</v>
      </c>
      <c r="J213" s="22">
        <f>IF(33&gt;0,I213 / K213,0)</f>
        <v>0</v>
      </c>
      <c r="K213" s="9">
        <f t="shared" si="5"/>
        <v>33</v>
      </c>
      <c r="L213" s="36"/>
    </row>
    <row r="214" spans="2:12" x14ac:dyDescent="0.3">
      <c r="B214" s="9" t="s">
        <v>210</v>
      </c>
      <c r="C214" s="9">
        <v>0</v>
      </c>
      <c r="D214" s="22">
        <f t="shared" ref="D214:D219" si="6">IF(0&gt;0,C214 / K214,0)</f>
        <v>0</v>
      </c>
      <c r="E214" s="9">
        <v>0</v>
      </c>
      <c r="F214" s="22">
        <f t="shared" ref="F214:F219" si="7">IF(0&gt;0,E214 / K214,0)</f>
        <v>0</v>
      </c>
      <c r="G214" s="9">
        <v>0</v>
      </c>
      <c r="H214" s="22">
        <f t="shared" ref="H214:H219" si="8">IF(0&gt;0,G214 / K214,0)</f>
        <v>0</v>
      </c>
      <c r="I214" s="9">
        <v>0</v>
      </c>
      <c r="J214" s="22">
        <f t="shared" ref="J214:J219" si="9">IF(0&gt;0,I214 / K214,0)</f>
        <v>0</v>
      </c>
      <c r="K214" s="9">
        <f t="shared" si="5"/>
        <v>0</v>
      </c>
      <c r="L214" s="36"/>
    </row>
    <row r="215" spans="2:12" x14ac:dyDescent="0.3">
      <c r="B215" s="9" t="s">
        <v>58</v>
      </c>
      <c r="C215" s="9">
        <v>0</v>
      </c>
      <c r="D215" s="22">
        <f t="shared" si="6"/>
        <v>0</v>
      </c>
      <c r="E215" s="9">
        <v>0</v>
      </c>
      <c r="F215" s="22">
        <f t="shared" si="7"/>
        <v>0</v>
      </c>
      <c r="G215" s="9">
        <v>0</v>
      </c>
      <c r="H215" s="22">
        <f t="shared" si="8"/>
        <v>0</v>
      </c>
      <c r="I215" s="9">
        <v>0</v>
      </c>
      <c r="J215" s="22">
        <f t="shared" si="9"/>
        <v>0</v>
      </c>
      <c r="K215" s="9">
        <f t="shared" si="5"/>
        <v>0</v>
      </c>
      <c r="L215" s="36"/>
    </row>
    <row r="216" spans="2:12" x14ac:dyDescent="0.3">
      <c r="B216" s="9" t="s">
        <v>211</v>
      </c>
      <c r="C216" s="9">
        <v>0</v>
      </c>
      <c r="D216" s="22">
        <f t="shared" si="6"/>
        <v>0</v>
      </c>
      <c r="E216" s="9">
        <v>0</v>
      </c>
      <c r="F216" s="22">
        <f t="shared" si="7"/>
        <v>0</v>
      </c>
      <c r="G216" s="9">
        <v>0</v>
      </c>
      <c r="H216" s="22">
        <f t="shared" si="8"/>
        <v>0</v>
      </c>
      <c r="I216" s="9">
        <v>0</v>
      </c>
      <c r="J216" s="22">
        <f t="shared" si="9"/>
        <v>0</v>
      </c>
      <c r="K216" s="9">
        <f t="shared" si="5"/>
        <v>0</v>
      </c>
      <c r="L216" s="36"/>
    </row>
    <row r="217" spans="2:12" x14ac:dyDescent="0.3">
      <c r="B217" s="9" t="s">
        <v>212</v>
      </c>
      <c r="C217" s="9">
        <v>0</v>
      </c>
      <c r="D217" s="22">
        <f t="shared" si="6"/>
        <v>0</v>
      </c>
      <c r="E217" s="9">
        <v>0</v>
      </c>
      <c r="F217" s="22">
        <f t="shared" si="7"/>
        <v>0</v>
      </c>
      <c r="G217" s="9">
        <v>0</v>
      </c>
      <c r="H217" s="22">
        <f t="shared" si="8"/>
        <v>0</v>
      </c>
      <c r="I217" s="9">
        <v>0</v>
      </c>
      <c r="J217" s="22">
        <f t="shared" si="9"/>
        <v>0</v>
      </c>
      <c r="K217" s="9">
        <f t="shared" si="5"/>
        <v>0</v>
      </c>
      <c r="L217" s="36"/>
    </row>
    <row r="218" spans="2:12" x14ac:dyDescent="0.3">
      <c r="B218" s="9" t="s">
        <v>213</v>
      </c>
      <c r="C218" s="9">
        <v>0</v>
      </c>
      <c r="D218" s="22">
        <f t="shared" si="6"/>
        <v>0</v>
      </c>
      <c r="E218" s="9">
        <v>0</v>
      </c>
      <c r="F218" s="22">
        <f t="shared" si="7"/>
        <v>0</v>
      </c>
      <c r="G218" s="9">
        <v>0</v>
      </c>
      <c r="H218" s="22">
        <f t="shared" si="8"/>
        <v>0</v>
      </c>
      <c r="I218" s="9">
        <v>0</v>
      </c>
      <c r="J218" s="22">
        <f t="shared" si="9"/>
        <v>0</v>
      </c>
      <c r="K218" s="9">
        <f t="shared" si="5"/>
        <v>0</v>
      </c>
      <c r="L218" s="36"/>
    </row>
    <row r="219" spans="2:12" x14ac:dyDescent="0.3">
      <c r="B219" s="9" t="s">
        <v>59</v>
      </c>
      <c r="C219" s="9">
        <v>0</v>
      </c>
      <c r="D219" s="22">
        <f t="shared" si="6"/>
        <v>0</v>
      </c>
      <c r="E219" s="9">
        <v>0</v>
      </c>
      <c r="F219" s="22">
        <f t="shared" si="7"/>
        <v>0</v>
      </c>
      <c r="G219" s="9">
        <v>0</v>
      </c>
      <c r="H219" s="22">
        <f t="shared" si="8"/>
        <v>0</v>
      </c>
      <c r="I219" s="9">
        <v>0</v>
      </c>
      <c r="J219" s="22">
        <f t="shared" si="9"/>
        <v>0</v>
      </c>
      <c r="K219" s="9">
        <f t="shared" si="5"/>
        <v>0</v>
      </c>
      <c r="L219" s="36"/>
    </row>
    <row r="220" spans="2:12" x14ac:dyDescent="0.3">
      <c r="B220" s="9" t="s">
        <v>214</v>
      </c>
      <c r="C220" s="9">
        <v>13</v>
      </c>
      <c r="D220" s="22">
        <f>IF(1442&gt;0,C220 / K220,0)</f>
        <v>9.0152565880721215E-3</v>
      </c>
      <c r="E220" s="9">
        <v>1220</v>
      </c>
      <c r="F220" s="22">
        <f>IF(1442&gt;0,E220 / K220,0)</f>
        <v>0.84604715672676833</v>
      </c>
      <c r="G220" s="9">
        <v>196</v>
      </c>
      <c r="H220" s="22">
        <f>IF(1442&gt;0,G220 / K220,0)</f>
        <v>0.13592233009708737</v>
      </c>
      <c r="I220" s="9">
        <v>13</v>
      </c>
      <c r="J220" s="22">
        <f>IF(1442&gt;0,I220 / K220,0)</f>
        <v>9.0152565880721215E-3</v>
      </c>
      <c r="K220" s="9">
        <f t="shared" si="5"/>
        <v>1442</v>
      </c>
      <c r="L220" s="36"/>
    </row>
    <row r="221" spans="2:12" x14ac:dyDescent="0.3">
      <c r="B221" s="9" t="s">
        <v>60</v>
      </c>
      <c r="C221" s="9">
        <v>13</v>
      </c>
      <c r="D221" s="22">
        <f>IF(4327&gt;0,C221 / K221,0)</f>
        <v>3.0043910330483014E-3</v>
      </c>
      <c r="E221" s="9">
        <v>4213</v>
      </c>
      <c r="F221" s="22">
        <f>IF(4327&gt;0,E221 / K221,0)</f>
        <v>0.97365380171019178</v>
      </c>
      <c r="G221" s="9">
        <v>101</v>
      </c>
      <c r="H221" s="22">
        <f>IF(4327&gt;0,G221 / K221,0)</f>
        <v>2.334180725675988E-2</v>
      </c>
      <c r="I221" s="9">
        <v>0</v>
      </c>
      <c r="J221" s="22">
        <f>IF(4327&gt;0,I221 / K221,0)</f>
        <v>0</v>
      </c>
      <c r="K221" s="9">
        <f t="shared" si="5"/>
        <v>4327</v>
      </c>
      <c r="L221" s="36"/>
    </row>
    <row r="222" spans="2:12" x14ac:dyDescent="0.3">
      <c r="B222" s="9" t="s">
        <v>61</v>
      </c>
      <c r="C222" s="9">
        <v>0</v>
      </c>
      <c r="D222" s="22">
        <f>IF(0&gt;0,C222 / K222,0)</f>
        <v>0</v>
      </c>
      <c r="E222" s="9">
        <v>0</v>
      </c>
      <c r="F222" s="22">
        <f>IF(0&gt;0,E222 / K222,0)</f>
        <v>0</v>
      </c>
      <c r="G222" s="9">
        <v>0</v>
      </c>
      <c r="H222" s="22">
        <f>IF(0&gt;0,G222 / K222,0)</f>
        <v>0</v>
      </c>
      <c r="I222" s="9">
        <v>0</v>
      </c>
      <c r="J222" s="22">
        <f>IF(0&gt;0,I222 / K222,0)</f>
        <v>0</v>
      </c>
      <c r="K222" s="9">
        <f t="shared" si="5"/>
        <v>0</v>
      </c>
      <c r="L222" s="36"/>
    </row>
    <row r="223" spans="2:12" x14ac:dyDescent="0.3">
      <c r="B223" s="9" t="s">
        <v>78</v>
      </c>
      <c r="C223" s="9">
        <v>12</v>
      </c>
      <c r="D223" s="22">
        <f>IF(6202&gt;0,C223 / K223,0)</f>
        <v>1.9348597226701064E-3</v>
      </c>
      <c r="E223" s="9">
        <v>5451</v>
      </c>
      <c r="F223" s="22">
        <f>IF(6202&gt;0,E223 / K223,0)</f>
        <v>0.87891002902289583</v>
      </c>
      <c r="G223" s="9">
        <v>731</v>
      </c>
      <c r="H223" s="22">
        <f>IF(6202&gt;0,G223 / K223,0)</f>
        <v>0.11786520477265398</v>
      </c>
      <c r="I223" s="9">
        <v>8</v>
      </c>
      <c r="J223" s="22">
        <f>IF(6202&gt;0,I223 / K223,0)</f>
        <v>1.2899064817800709E-3</v>
      </c>
      <c r="K223" s="9">
        <f t="shared" si="5"/>
        <v>6202</v>
      </c>
      <c r="L223" s="36"/>
    </row>
    <row r="224" spans="2:12" x14ac:dyDescent="0.3">
      <c r="B224" s="9" t="s">
        <v>62</v>
      </c>
      <c r="C224" s="9">
        <v>0</v>
      </c>
      <c r="D224" s="22">
        <f>IF(94&gt;0,C224 / K224,0)</f>
        <v>0</v>
      </c>
      <c r="E224" s="9">
        <v>6</v>
      </c>
      <c r="F224" s="22">
        <f>IF(94&gt;0,E224 / K224,0)</f>
        <v>6.3829787234042548E-2</v>
      </c>
      <c r="G224" s="9">
        <v>88</v>
      </c>
      <c r="H224" s="22">
        <f>IF(94&gt;0,G224 / K224,0)</f>
        <v>0.93617021276595747</v>
      </c>
      <c r="I224" s="9">
        <v>0</v>
      </c>
      <c r="J224" s="22">
        <f>IF(94&gt;0,I224 / K224,0)</f>
        <v>0</v>
      </c>
      <c r="K224" s="9">
        <f t="shared" si="5"/>
        <v>94</v>
      </c>
      <c r="L224" s="36"/>
    </row>
    <row r="225" spans="2:12" x14ac:dyDescent="0.3">
      <c r="B225" s="9" t="s">
        <v>314</v>
      </c>
      <c r="C225" s="9">
        <v>0</v>
      </c>
      <c r="D225" s="22">
        <f>IF(1183&gt;0,C225 / K225,0)</f>
        <v>0</v>
      </c>
      <c r="E225" s="9">
        <v>1178</v>
      </c>
      <c r="F225" s="22">
        <f>IF(1183&gt;0,E225 / K225,0)</f>
        <v>0.9957734573119188</v>
      </c>
      <c r="G225" s="9">
        <v>5</v>
      </c>
      <c r="H225" s="22">
        <f>IF(1183&gt;0,G225 / K225,0)</f>
        <v>4.22654268808115E-3</v>
      </c>
      <c r="I225" s="9">
        <v>0</v>
      </c>
      <c r="J225" s="22">
        <f>IF(1183&gt;0,I225 / K225,0)</f>
        <v>0</v>
      </c>
      <c r="K225" s="9">
        <f t="shared" si="5"/>
        <v>1183</v>
      </c>
      <c r="L225" s="36"/>
    </row>
    <row r="226" spans="2:12" x14ac:dyDescent="0.3">
      <c r="B226" s="9" t="s">
        <v>79</v>
      </c>
      <c r="C226" s="9">
        <v>268</v>
      </c>
      <c r="D226" s="22">
        <f>IF(3173&gt;0,C226 / K226,0)</f>
        <v>8.4462653640088245E-2</v>
      </c>
      <c r="E226" s="9">
        <v>2436</v>
      </c>
      <c r="F226" s="22">
        <f>IF(3173&gt;0,E226 / K226,0)</f>
        <v>0.7677277024897573</v>
      </c>
      <c r="G226" s="9">
        <v>467</v>
      </c>
      <c r="H226" s="22">
        <f>IF(3173&gt;0,G226 / K226,0)</f>
        <v>0.14717932555940749</v>
      </c>
      <c r="I226" s="9">
        <v>2</v>
      </c>
      <c r="J226" s="22">
        <f>IF(3173&gt;0,I226 / K226,0)</f>
        <v>6.3031831074692715E-4</v>
      </c>
      <c r="K226" s="9">
        <f t="shared" si="5"/>
        <v>3173</v>
      </c>
      <c r="L226" s="36"/>
    </row>
    <row r="227" spans="2:12" x14ac:dyDescent="0.3">
      <c r="B227" s="9" t="s">
        <v>215</v>
      </c>
      <c r="C227" s="9">
        <v>92</v>
      </c>
      <c r="D227" s="22">
        <f>IF(3196&gt;0,C227 / K227,0)</f>
        <v>2.8785982478097622E-2</v>
      </c>
      <c r="E227" s="9">
        <v>2578</v>
      </c>
      <c r="F227" s="22">
        <f>IF(3196&gt;0,E227 / K227,0)</f>
        <v>0.80663329161451813</v>
      </c>
      <c r="G227" s="9">
        <v>526</v>
      </c>
      <c r="H227" s="22">
        <f>IF(3196&gt;0,G227 / K227,0)</f>
        <v>0.16458072590738423</v>
      </c>
      <c r="I227" s="9">
        <v>0</v>
      </c>
      <c r="J227" s="22">
        <f>IF(3196&gt;0,I227 / K227,0)</f>
        <v>0</v>
      </c>
      <c r="K227" s="9">
        <f t="shared" si="5"/>
        <v>3196</v>
      </c>
      <c r="L227" s="36"/>
    </row>
    <row r="228" spans="2:12" x14ac:dyDescent="0.3">
      <c r="B228" s="9" t="s">
        <v>63</v>
      </c>
      <c r="C228" s="9">
        <v>2286</v>
      </c>
      <c r="D228" s="22">
        <f>IF(114950&gt;0,C228 / K228,0)</f>
        <v>1.9886907351022182E-2</v>
      </c>
      <c r="E228" s="9">
        <v>101674</v>
      </c>
      <c r="F228" s="22">
        <f>IF(114950&gt;0,E228 / K228,0)</f>
        <v>0.88450630709003919</v>
      </c>
      <c r="G228" s="9">
        <v>8361</v>
      </c>
      <c r="H228" s="22">
        <f>IF(114950&gt;0,G228 / K228,0)</f>
        <v>7.2735972161809478E-2</v>
      </c>
      <c r="I228" s="9">
        <v>2629</v>
      </c>
      <c r="J228" s="22">
        <f>IF(114950&gt;0,I228 / K228,0)</f>
        <v>2.2870813397129187E-2</v>
      </c>
      <c r="K228" s="9">
        <f t="shared" si="5"/>
        <v>114950</v>
      </c>
      <c r="L228" s="36"/>
    </row>
    <row r="229" spans="2:12" x14ac:dyDescent="0.3">
      <c r="B229" s="9" t="s">
        <v>216</v>
      </c>
      <c r="C229" s="9">
        <v>0</v>
      </c>
      <c r="D229" s="22">
        <f>IF(502&gt;0,C229 / K229,0)</f>
        <v>0</v>
      </c>
      <c r="E229" s="9">
        <v>502</v>
      </c>
      <c r="F229" s="22">
        <f>IF(502&gt;0,E229 / K229,0)</f>
        <v>1</v>
      </c>
      <c r="G229" s="9">
        <v>0</v>
      </c>
      <c r="H229" s="22">
        <f>IF(502&gt;0,G229 / K229,0)</f>
        <v>0</v>
      </c>
      <c r="I229" s="9">
        <v>0</v>
      </c>
      <c r="J229" s="22">
        <f>IF(502&gt;0,I229 / K229,0)</f>
        <v>0</v>
      </c>
      <c r="K229" s="9">
        <f t="shared" si="5"/>
        <v>502</v>
      </c>
      <c r="L229" s="36"/>
    </row>
    <row r="230" spans="2:12" x14ac:dyDescent="0.3">
      <c r="B230" s="9" t="s">
        <v>64</v>
      </c>
      <c r="C230" s="9">
        <v>0</v>
      </c>
      <c r="D230" s="22">
        <f>IF(1565&gt;0,C230 / K230,0)</f>
        <v>0</v>
      </c>
      <c r="E230" s="9">
        <v>659</v>
      </c>
      <c r="F230" s="22">
        <f>IF(1565&gt;0,E230 / K230,0)</f>
        <v>0.42108626198083066</v>
      </c>
      <c r="G230" s="9">
        <v>906</v>
      </c>
      <c r="H230" s="22">
        <f>IF(1565&gt;0,G230 / K230,0)</f>
        <v>0.57891373801916934</v>
      </c>
      <c r="I230" s="9">
        <v>0</v>
      </c>
      <c r="J230" s="22">
        <f>IF(1565&gt;0,I230 / K230,0)</f>
        <v>0</v>
      </c>
      <c r="K230" s="9">
        <f t="shared" si="5"/>
        <v>1565</v>
      </c>
      <c r="L230" s="36"/>
    </row>
    <row r="231" spans="2:12" x14ac:dyDescent="0.3">
      <c r="B231" s="9" t="s">
        <v>65</v>
      </c>
      <c r="C231" s="9">
        <v>0</v>
      </c>
      <c r="D231" s="22">
        <f>IF(663&gt;0,C231 / K231,0)</f>
        <v>0</v>
      </c>
      <c r="E231" s="9">
        <v>663</v>
      </c>
      <c r="F231" s="22">
        <f>IF(663&gt;0,E231 / K231,0)</f>
        <v>1</v>
      </c>
      <c r="G231" s="9">
        <v>0</v>
      </c>
      <c r="H231" s="22">
        <f>IF(663&gt;0,G231 / K231,0)</f>
        <v>0</v>
      </c>
      <c r="I231" s="9">
        <v>0</v>
      </c>
      <c r="J231" s="22">
        <f>IF(663&gt;0,I231 / K231,0)</f>
        <v>0</v>
      </c>
      <c r="K231" s="9">
        <f t="shared" si="5"/>
        <v>663</v>
      </c>
      <c r="L231" s="36"/>
    </row>
    <row r="232" spans="2:12" x14ac:dyDescent="0.3">
      <c r="B232" s="9" t="s">
        <v>217</v>
      </c>
      <c r="C232" s="9">
        <v>996</v>
      </c>
      <c r="D232" s="22">
        <f>IF(11681&gt;0,C232 / K232,0)</f>
        <v>8.5266672373940589E-2</v>
      </c>
      <c r="E232" s="9">
        <v>10287</v>
      </c>
      <c r="F232" s="22">
        <f>IF(11681&gt;0,E232 / K232,0)</f>
        <v>0.88066090232000682</v>
      </c>
      <c r="G232" s="9">
        <v>398</v>
      </c>
      <c r="H232" s="22">
        <f>IF(11681&gt;0,G232 / K232,0)</f>
        <v>3.4072425306052562E-2</v>
      </c>
      <c r="I232" s="9">
        <v>0</v>
      </c>
      <c r="J232" s="22">
        <f>IF(11681&gt;0,I232 / K232,0)</f>
        <v>0</v>
      </c>
      <c r="K232" s="9">
        <f t="shared" si="5"/>
        <v>11681</v>
      </c>
      <c r="L232" s="36"/>
    </row>
    <row r="233" spans="2:12" ht="15" thickBot="1" x14ac:dyDescent="0.35">
      <c r="B233" s="28" t="s">
        <v>66</v>
      </c>
      <c r="C233" s="28">
        <v>10</v>
      </c>
      <c r="D233" s="39">
        <f>IF(41&gt;0,C233 / K233,0)</f>
        <v>0.24390243902439024</v>
      </c>
      <c r="E233" s="28">
        <v>23</v>
      </c>
      <c r="F233" s="39">
        <f>IF(41&gt;0,E233 / K233,0)</f>
        <v>0.56097560975609762</v>
      </c>
      <c r="G233" s="28">
        <v>8</v>
      </c>
      <c r="H233" s="39">
        <f>IF(41&gt;0,G233 / K233,0)</f>
        <v>0.1951219512195122</v>
      </c>
      <c r="I233" s="28">
        <v>0</v>
      </c>
      <c r="J233" s="39">
        <f>IF(41&gt;0,I233 / K233,0)</f>
        <v>0</v>
      </c>
      <c r="K233" s="28">
        <f t="shared" si="5"/>
        <v>41</v>
      </c>
      <c r="L233" s="36"/>
    </row>
    <row r="234" spans="2:12" x14ac:dyDescent="0.3">
      <c r="B234" s="27" t="s">
        <v>269</v>
      </c>
      <c r="C234" s="27">
        <f>SUM(C193:C233)</f>
        <v>79064</v>
      </c>
      <c r="D234" s="27"/>
      <c r="E234" s="27">
        <f>SUM(E193:E233)</f>
        <v>642299</v>
      </c>
      <c r="F234" s="27"/>
      <c r="G234" s="27">
        <f>SUM(G193:G233)</f>
        <v>289166</v>
      </c>
      <c r="H234" s="27"/>
      <c r="I234" s="27">
        <f>SUM(I193:I233)</f>
        <v>27402</v>
      </c>
      <c r="J234" s="27"/>
      <c r="K234" s="27">
        <f>SUM(K193:K233)</f>
        <v>1037931</v>
      </c>
    </row>
    <row r="235" spans="2:12" x14ac:dyDescent="0.3">
      <c r="B235" s="38" t="s">
        <v>226</v>
      </c>
      <c r="C235" s="23">
        <f>C234 / K234</f>
        <v>7.6174620470917623E-2</v>
      </c>
      <c r="D235" s="8"/>
      <c r="E235" s="23">
        <f>E234 / K234</f>
        <v>0.61882629962878077</v>
      </c>
      <c r="F235" s="8"/>
      <c r="G235" s="23">
        <f>G234 / K234</f>
        <v>0.27859848101656082</v>
      </c>
      <c r="H235" s="8"/>
      <c r="I235" s="23">
        <f>I234 / K234</f>
        <v>2.6400598883740828E-2</v>
      </c>
      <c r="J235" s="8"/>
      <c r="K235" s="23">
        <f>K234 / K234</f>
        <v>1</v>
      </c>
    </row>
    <row r="236" spans="2:12" x14ac:dyDescent="0.3">
      <c r="B236" s="40"/>
      <c r="C236" s="41"/>
      <c r="D236" s="15"/>
      <c r="E236" s="41"/>
      <c r="F236" s="15"/>
      <c r="G236" s="41"/>
      <c r="H236" s="15"/>
      <c r="I236" s="41"/>
      <c r="J236" s="15"/>
      <c r="K236" s="41"/>
    </row>
    <row r="238" spans="2:12" x14ac:dyDescent="0.3">
      <c r="B238" s="11" t="s">
        <v>276</v>
      </c>
      <c r="C238" s="12"/>
      <c r="D238" s="12"/>
      <c r="E238" s="12"/>
      <c r="F238" s="12"/>
      <c r="G238" s="12"/>
      <c r="H238" s="12"/>
      <c r="I238" s="12"/>
      <c r="J238" s="12"/>
      <c r="K238" s="12"/>
    </row>
    <row r="239" spans="2:12" x14ac:dyDescent="0.3">
      <c r="B239" s="12"/>
      <c r="C239" s="12"/>
      <c r="D239" s="12"/>
      <c r="E239" s="61" t="s">
        <v>265</v>
      </c>
      <c r="F239" s="61"/>
      <c r="G239" s="61"/>
      <c r="H239" s="61"/>
      <c r="I239" s="61"/>
      <c r="J239" s="61"/>
      <c r="K239" s="12"/>
    </row>
    <row r="240" spans="2:12" s="6" customFormat="1" ht="75" customHeight="1" x14ac:dyDescent="0.3">
      <c r="B240" s="20" t="s">
        <v>189</v>
      </c>
      <c r="C240" s="20" t="s">
        <v>75</v>
      </c>
      <c r="D240" s="20"/>
      <c r="E240" s="20" t="s">
        <v>4</v>
      </c>
      <c r="F240" s="20"/>
      <c r="G240" s="20" t="s">
        <v>5</v>
      </c>
      <c r="H240" s="20"/>
      <c r="I240" s="20" t="s">
        <v>6</v>
      </c>
      <c r="J240" s="20"/>
      <c r="K240" s="21" t="s">
        <v>224</v>
      </c>
      <c r="L240" s="37"/>
    </row>
    <row r="241" spans="2:12" x14ac:dyDescent="0.3">
      <c r="B241" s="9" t="s">
        <v>0</v>
      </c>
      <c r="C241" s="9">
        <v>824</v>
      </c>
      <c r="D241" s="22">
        <f>IF(105782&gt;0,C241 / K241,0)</f>
        <v>7.7896050367737418E-3</v>
      </c>
      <c r="E241" s="9">
        <v>31705</v>
      </c>
      <c r="F241" s="22">
        <f>IF(105782&gt;0,E241 / K241,0)</f>
        <v>0.29972017923654309</v>
      </c>
      <c r="G241" s="9">
        <v>69323</v>
      </c>
      <c r="H241" s="22">
        <f>IF(105782&gt;0,G241 / K241,0)</f>
        <v>0.65533833733527447</v>
      </c>
      <c r="I241" s="9">
        <v>3930</v>
      </c>
      <c r="J241" s="22">
        <f>IF(105782&gt;0,I241 / K241,0)</f>
        <v>3.7151878391408745E-2</v>
      </c>
      <c r="K241" s="9">
        <f t="shared" ref="K241:K258" si="10">C241+E241+G241+I241</f>
        <v>105782</v>
      </c>
      <c r="L241" s="36"/>
    </row>
    <row r="242" spans="2:12" x14ac:dyDescent="0.3">
      <c r="B242" s="9" t="s">
        <v>22</v>
      </c>
      <c r="C242" s="9">
        <v>296</v>
      </c>
      <c r="D242" s="22">
        <f>IF(26371&gt;0,C242 / K242,0)</f>
        <v>1.1224451101588867E-2</v>
      </c>
      <c r="E242" s="9">
        <v>11535</v>
      </c>
      <c r="F242" s="22">
        <f>IF(26371&gt;0,E242 / K242,0)</f>
        <v>0.43741230897576883</v>
      </c>
      <c r="G242" s="9">
        <v>13510</v>
      </c>
      <c r="H242" s="22">
        <f>IF(26371&gt;0,G242 / K242,0)</f>
        <v>0.51230518372454592</v>
      </c>
      <c r="I242" s="9">
        <v>1030</v>
      </c>
      <c r="J242" s="22">
        <f>IF(26371&gt;0,I242 / K242,0)</f>
        <v>3.9058056198096394E-2</v>
      </c>
      <c r="K242" s="9">
        <f t="shared" si="10"/>
        <v>26371</v>
      </c>
      <c r="L242" s="36"/>
    </row>
    <row r="243" spans="2:12" x14ac:dyDescent="0.3">
      <c r="B243" s="9" t="s">
        <v>109</v>
      </c>
      <c r="C243" s="9">
        <v>2332</v>
      </c>
      <c r="D243" s="22">
        <f>IF(9872&gt;0,C243 / K243,0)</f>
        <v>0.23622366288492708</v>
      </c>
      <c r="E243" s="9">
        <v>5616</v>
      </c>
      <c r="F243" s="22">
        <f>IF(9872&gt;0,E243 / K243,0)</f>
        <v>0.56888168557536467</v>
      </c>
      <c r="G243" s="9">
        <v>1752</v>
      </c>
      <c r="H243" s="22">
        <f>IF(9872&gt;0,G243 / K243,0)</f>
        <v>0.17747163695299839</v>
      </c>
      <c r="I243" s="9">
        <v>172</v>
      </c>
      <c r="J243" s="22">
        <f>IF(9872&gt;0,I243 / K243,0)</f>
        <v>1.7423014586709886E-2</v>
      </c>
      <c r="K243" s="9">
        <f t="shared" si="10"/>
        <v>9872</v>
      </c>
      <c r="L243" s="36"/>
    </row>
    <row r="244" spans="2:12" x14ac:dyDescent="0.3">
      <c r="B244" s="9" t="s">
        <v>23</v>
      </c>
      <c r="C244" s="9">
        <v>1611</v>
      </c>
      <c r="D244" s="22">
        <f>IF(32495&gt;0,C244 / K244,0)</f>
        <v>4.9576857978150486E-2</v>
      </c>
      <c r="E244" s="9">
        <v>14253</v>
      </c>
      <c r="F244" s="22">
        <f>IF(32495&gt;0,E244 / K244,0)</f>
        <v>0.43862132635790124</v>
      </c>
      <c r="G244" s="9">
        <v>15820</v>
      </c>
      <c r="H244" s="22">
        <f>IF(32495&gt;0,G244 / K244,0)</f>
        <v>0.48684412986613324</v>
      </c>
      <c r="I244" s="9">
        <v>811</v>
      </c>
      <c r="J244" s="22">
        <f>IF(32495&gt;0,I244 / K244,0)</f>
        <v>2.4957685797815047E-2</v>
      </c>
      <c r="K244" s="9">
        <f t="shared" si="10"/>
        <v>32495</v>
      </c>
      <c r="L244" s="36"/>
    </row>
    <row r="245" spans="2:12" x14ac:dyDescent="0.3">
      <c r="B245" s="9" t="s">
        <v>24</v>
      </c>
      <c r="C245" s="9">
        <v>354</v>
      </c>
      <c r="D245" s="22">
        <f>IF(5842&gt;0,C245 / K245,0)</f>
        <v>6.0595686408764123E-2</v>
      </c>
      <c r="E245" s="9">
        <v>2670</v>
      </c>
      <c r="F245" s="22">
        <f>IF(5842&gt;0,E245 / K245,0)</f>
        <v>0.45703526189661076</v>
      </c>
      <c r="G245" s="9">
        <v>2218</v>
      </c>
      <c r="H245" s="22">
        <f>IF(5842&gt;0,G245 / K245,0)</f>
        <v>0.37966449845943168</v>
      </c>
      <c r="I245" s="9">
        <v>600</v>
      </c>
      <c r="J245" s="22">
        <f>IF(5842&gt;0,I245 / K245,0)</f>
        <v>0.10270455323519342</v>
      </c>
      <c r="K245" s="9">
        <f t="shared" si="10"/>
        <v>5842</v>
      </c>
      <c r="L245" s="36"/>
    </row>
    <row r="246" spans="2:12" x14ac:dyDescent="0.3">
      <c r="B246" s="9" t="s">
        <v>110</v>
      </c>
      <c r="C246" s="9">
        <v>132</v>
      </c>
      <c r="D246" s="22">
        <f>IF(5169&gt;0,C246 / K246,0)</f>
        <v>2.5536854323853744E-2</v>
      </c>
      <c r="E246" s="9">
        <v>2230</v>
      </c>
      <c r="F246" s="22">
        <f>IF(5169&gt;0,E246 / K246,0)</f>
        <v>0.4314180692590443</v>
      </c>
      <c r="G246" s="9">
        <v>2532</v>
      </c>
      <c r="H246" s="22">
        <f>IF(5169&gt;0,G246 / K246,0)</f>
        <v>0.48984329657573999</v>
      </c>
      <c r="I246" s="9">
        <v>275</v>
      </c>
      <c r="J246" s="22">
        <f>IF(5169&gt;0,I246 / K246,0)</f>
        <v>5.3201779841361964E-2</v>
      </c>
      <c r="K246" s="9">
        <f t="shared" si="10"/>
        <v>5169</v>
      </c>
      <c r="L246" s="36"/>
    </row>
    <row r="247" spans="2:12" x14ac:dyDescent="0.3">
      <c r="B247" s="9" t="s">
        <v>111</v>
      </c>
      <c r="C247" s="9">
        <v>57</v>
      </c>
      <c r="D247" s="22">
        <f>IF(2092&gt;0,C247 / K247,0)</f>
        <v>2.7246653919694074E-2</v>
      </c>
      <c r="E247" s="9">
        <v>1197</v>
      </c>
      <c r="F247" s="22">
        <f>IF(2092&gt;0,E247 / K247,0)</f>
        <v>0.57217973231357555</v>
      </c>
      <c r="G247" s="9">
        <v>702</v>
      </c>
      <c r="H247" s="22">
        <f>IF(2092&gt;0,G247 / K247,0)</f>
        <v>0.33556405353728491</v>
      </c>
      <c r="I247" s="9">
        <v>136</v>
      </c>
      <c r="J247" s="22">
        <f>IF(2092&gt;0,I247 / K247,0)</f>
        <v>6.5009560229445512E-2</v>
      </c>
      <c r="K247" s="9">
        <f t="shared" si="10"/>
        <v>2092</v>
      </c>
      <c r="L247" s="36"/>
    </row>
    <row r="248" spans="2:12" x14ac:dyDescent="0.3">
      <c r="B248" s="9" t="s">
        <v>25</v>
      </c>
      <c r="C248" s="9">
        <v>609</v>
      </c>
      <c r="D248" s="22">
        <f>IF(19326&gt;0,C248 / K248,0)</f>
        <v>3.1511952809686432E-2</v>
      </c>
      <c r="E248" s="9">
        <v>13177</v>
      </c>
      <c r="F248" s="22">
        <f>IF(19326&gt;0,E248 / K248,0)</f>
        <v>0.68182758977543201</v>
      </c>
      <c r="G248" s="9">
        <v>4948</v>
      </c>
      <c r="H248" s="22">
        <f>IF(19326&gt;0,G248 / K248,0)</f>
        <v>0.2560281486080927</v>
      </c>
      <c r="I248" s="9">
        <v>592</v>
      </c>
      <c r="J248" s="22">
        <f>IF(19326&gt;0,I248 / K248,0)</f>
        <v>3.0632308806788782E-2</v>
      </c>
      <c r="K248" s="9">
        <f t="shared" si="10"/>
        <v>19326</v>
      </c>
      <c r="L248" s="36"/>
    </row>
    <row r="249" spans="2:12" x14ac:dyDescent="0.3">
      <c r="B249" s="9" t="s">
        <v>26</v>
      </c>
      <c r="C249" s="9">
        <v>832</v>
      </c>
      <c r="D249" s="22">
        <f>IF(2547&gt;0,C249 / K249,0)</f>
        <v>0.32665881429132315</v>
      </c>
      <c r="E249" s="9">
        <v>877</v>
      </c>
      <c r="F249" s="22">
        <f>IF(2547&gt;0,E249 / K249,0)</f>
        <v>0.34432665881429131</v>
      </c>
      <c r="G249" s="9">
        <v>770</v>
      </c>
      <c r="H249" s="22">
        <f>IF(2547&gt;0,G249 / K249,0)</f>
        <v>0.30231645072634472</v>
      </c>
      <c r="I249" s="9">
        <v>68</v>
      </c>
      <c r="J249" s="22">
        <f>IF(2547&gt;0,I249 / K249,0)</f>
        <v>2.6698076168040832E-2</v>
      </c>
      <c r="K249" s="9">
        <f t="shared" si="10"/>
        <v>2547</v>
      </c>
      <c r="L249" s="36"/>
    </row>
    <row r="250" spans="2:12" x14ac:dyDescent="0.3">
      <c r="B250" s="9" t="s">
        <v>175</v>
      </c>
      <c r="C250" s="9">
        <v>128</v>
      </c>
      <c r="D250" s="22">
        <f>IF(3119&gt;0,C250 / K250,0)</f>
        <v>4.1038794485411992E-2</v>
      </c>
      <c r="E250" s="9">
        <v>1593</v>
      </c>
      <c r="F250" s="22">
        <f>IF(3119&gt;0,E250 / K250,0)</f>
        <v>0.51074062199422887</v>
      </c>
      <c r="G250" s="9">
        <v>1242</v>
      </c>
      <c r="H250" s="22">
        <f>IF(3119&gt;0,G250 / K250,0)</f>
        <v>0.39820455274126321</v>
      </c>
      <c r="I250" s="9">
        <v>156</v>
      </c>
      <c r="J250" s="22">
        <f>IF(3119&gt;0,I250 / K250,0)</f>
        <v>5.0016030779095867E-2</v>
      </c>
      <c r="K250" s="9">
        <f t="shared" si="10"/>
        <v>3119</v>
      </c>
      <c r="L250" s="36"/>
    </row>
    <row r="251" spans="2:12" x14ac:dyDescent="0.3">
      <c r="B251" s="9" t="s">
        <v>27</v>
      </c>
      <c r="C251" s="9">
        <v>439</v>
      </c>
      <c r="D251" s="22">
        <f>IF(10690&gt;0,C251 / K251,0)</f>
        <v>4.1066417212347987E-2</v>
      </c>
      <c r="E251" s="9">
        <v>9118</v>
      </c>
      <c r="F251" s="22">
        <f>IF(10690&gt;0,E251 / K251,0)</f>
        <v>0.8529466791393826</v>
      </c>
      <c r="G251" s="9">
        <v>1092</v>
      </c>
      <c r="H251" s="22">
        <f>IF(10690&gt;0,G251 / K251,0)</f>
        <v>0.10215154349859681</v>
      </c>
      <c r="I251" s="9">
        <v>41</v>
      </c>
      <c r="J251" s="22">
        <f>IF(10690&gt;0,I251 / K251,0)</f>
        <v>3.8353601496725911E-3</v>
      </c>
      <c r="K251" s="9">
        <f t="shared" si="10"/>
        <v>10690</v>
      </c>
      <c r="L251" s="36"/>
    </row>
    <row r="252" spans="2:12" x14ac:dyDescent="0.3">
      <c r="B252" s="9" t="s">
        <v>28</v>
      </c>
      <c r="C252" s="9">
        <v>106</v>
      </c>
      <c r="D252" s="22">
        <f>IF(1435&gt;0,C252 / K252,0)</f>
        <v>7.3867595818815329E-2</v>
      </c>
      <c r="E252" s="9">
        <v>379</v>
      </c>
      <c r="F252" s="22">
        <f>IF(1435&gt;0,E252 / K252,0)</f>
        <v>0.26411149825783969</v>
      </c>
      <c r="G252" s="9">
        <v>573</v>
      </c>
      <c r="H252" s="22">
        <f>IF(1435&gt;0,G252 / K252,0)</f>
        <v>0.39930313588850175</v>
      </c>
      <c r="I252" s="9">
        <v>377</v>
      </c>
      <c r="J252" s="22">
        <f>IF(1435&gt;0,I252 / K252,0)</f>
        <v>0.2627177700348432</v>
      </c>
      <c r="K252" s="9">
        <f t="shared" si="10"/>
        <v>1435</v>
      </c>
      <c r="L252" s="36"/>
    </row>
    <row r="253" spans="2:12" x14ac:dyDescent="0.3">
      <c r="B253" s="9" t="s">
        <v>176</v>
      </c>
      <c r="C253" s="9">
        <v>122</v>
      </c>
      <c r="D253" s="22">
        <f>IF(15426&gt;0,C253 / K253,0)</f>
        <v>7.9087255283287958E-3</v>
      </c>
      <c r="E253" s="9">
        <v>12959</v>
      </c>
      <c r="F253" s="22">
        <f>IF(15426&gt;0,E253 / K253,0)</f>
        <v>0.84007519771813821</v>
      </c>
      <c r="G253" s="9">
        <v>2011</v>
      </c>
      <c r="H253" s="22">
        <f>IF(15426&gt;0,G253 / K253,0)</f>
        <v>0.13036431997925579</v>
      </c>
      <c r="I253" s="9">
        <v>334</v>
      </c>
      <c r="J253" s="22">
        <f>IF(15426&gt;0,I253 / K253,0)</f>
        <v>2.1651756774277196E-2</v>
      </c>
      <c r="K253" s="9">
        <f t="shared" si="10"/>
        <v>15426</v>
      </c>
      <c r="L253" s="36"/>
    </row>
    <row r="254" spans="2:12" x14ac:dyDescent="0.3">
      <c r="B254" s="9" t="s">
        <v>70</v>
      </c>
      <c r="C254" s="9">
        <v>0</v>
      </c>
      <c r="D254" s="22">
        <f>IF(13647&gt;0,C254 / K254,0)</f>
        <v>0</v>
      </c>
      <c r="E254" s="9">
        <v>13122</v>
      </c>
      <c r="F254" s="22">
        <f>IF(13647&gt;0,E254 / K254,0)</f>
        <v>0.96153000659485599</v>
      </c>
      <c r="G254" s="9">
        <v>55</v>
      </c>
      <c r="H254" s="22">
        <f>IF(13647&gt;0,G254 / K254,0)</f>
        <v>4.0301897853007983E-3</v>
      </c>
      <c r="I254" s="9">
        <v>470</v>
      </c>
      <c r="J254" s="22">
        <f>IF(13647&gt;0,I254 / K254,0)</f>
        <v>3.4439803619843189E-2</v>
      </c>
      <c r="K254" s="9">
        <f t="shared" si="10"/>
        <v>13647</v>
      </c>
      <c r="L254" s="36"/>
    </row>
    <row r="255" spans="2:12" x14ac:dyDescent="0.3">
      <c r="B255" s="9" t="s">
        <v>29</v>
      </c>
      <c r="C255" s="9">
        <v>152</v>
      </c>
      <c r="D255" s="22">
        <f>IF(6643&gt;0,C255 / K255,0)</f>
        <v>2.2881228360680416E-2</v>
      </c>
      <c r="E255" s="9">
        <v>3624</v>
      </c>
      <c r="F255" s="22">
        <f>IF(6643&gt;0,E255 / K255,0)</f>
        <v>0.54553665512569627</v>
      </c>
      <c r="G255" s="9">
        <v>1739</v>
      </c>
      <c r="H255" s="22">
        <f>IF(6643&gt;0,G255 / K255,0)</f>
        <v>0.26177931657383713</v>
      </c>
      <c r="I255" s="9">
        <v>1128</v>
      </c>
      <c r="J255" s="22">
        <f>IF(6643&gt;0,I255 / K255,0)</f>
        <v>0.16980279993978625</v>
      </c>
      <c r="K255" s="9">
        <f t="shared" si="10"/>
        <v>6643</v>
      </c>
      <c r="L255" s="36"/>
    </row>
    <row r="256" spans="2:12" x14ac:dyDescent="0.3">
      <c r="B256" s="9" t="s">
        <v>30</v>
      </c>
      <c r="C256" s="9">
        <v>27</v>
      </c>
      <c r="D256" s="22">
        <f>IF(1486&gt;0,C256 / K256,0)</f>
        <v>1.8169582772543741E-2</v>
      </c>
      <c r="E256" s="9">
        <v>447</v>
      </c>
      <c r="F256" s="22">
        <f>IF(1486&gt;0,E256 / K256,0)</f>
        <v>0.30080753701211305</v>
      </c>
      <c r="G256" s="9">
        <v>760</v>
      </c>
      <c r="H256" s="22">
        <f>IF(1486&gt;0,G256 / K256,0)</f>
        <v>0.51144010767160164</v>
      </c>
      <c r="I256" s="9">
        <v>252</v>
      </c>
      <c r="J256" s="22">
        <f>IF(1486&gt;0,I256 / K256,0)</f>
        <v>0.1695827725437416</v>
      </c>
      <c r="K256" s="9">
        <f t="shared" si="10"/>
        <v>1486</v>
      </c>
      <c r="L256" s="36"/>
    </row>
    <row r="257" spans="2:12" x14ac:dyDescent="0.3">
      <c r="B257" s="9" t="s">
        <v>31</v>
      </c>
      <c r="C257" s="9">
        <v>0</v>
      </c>
      <c r="D257" s="22">
        <f>IF(0&gt;0,C257 / K257,0)</f>
        <v>0</v>
      </c>
      <c r="E257" s="9">
        <v>0</v>
      </c>
      <c r="F257" s="22">
        <f>IF(0&gt;0,E257 / K257,0)</f>
        <v>0</v>
      </c>
      <c r="G257" s="9">
        <v>0</v>
      </c>
      <c r="H257" s="22">
        <f>IF(0&gt;0,G257 / K257,0)</f>
        <v>0</v>
      </c>
      <c r="I257" s="9">
        <v>0</v>
      </c>
      <c r="J257" s="22">
        <f>IF(0&gt;0,I257 / K257,0)</f>
        <v>0</v>
      </c>
      <c r="K257" s="9">
        <f t="shared" si="10"/>
        <v>0</v>
      </c>
      <c r="L257" s="36"/>
    </row>
    <row r="258" spans="2:12" ht="15" thickBot="1" x14ac:dyDescent="0.35">
      <c r="B258" s="28" t="s">
        <v>113</v>
      </c>
      <c r="C258" s="28">
        <v>218</v>
      </c>
      <c r="D258" s="39">
        <f>IF(5489&gt;0,C258 / K258,0)</f>
        <v>3.9715795226817271E-2</v>
      </c>
      <c r="E258" s="28">
        <v>1402</v>
      </c>
      <c r="F258" s="39">
        <f>IF(5489&gt;0,E258 / K258,0)</f>
        <v>0.25541993077063219</v>
      </c>
      <c r="G258" s="28">
        <v>3779</v>
      </c>
      <c r="H258" s="39">
        <f>IF(5489&gt;0,G258 / K258,0)</f>
        <v>0.68846784478047007</v>
      </c>
      <c r="I258" s="28">
        <v>90</v>
      </c>
      <c r="J258" s="39">
        <f>IF(5489&gt;0,I258 / K258,0)</f>
        <v>1.6396429222080525E-2</v>
      </c>
      <c r="K258" s="28">
        <f t="shared" si="10"/>
        <v>5489</v>
      </c>
      <c r="L258" s="36"/>
    </row>
    <row r="259" spans="2:12" x14ac:dyDescent="0.3">
      <c r="B259" s="27" t="s">
        <v>269</v>
      </c>
      <c r="C259" s="27">
        <f>SUM(C241:C258)</f>
        <v>8239</v>
      </c>
      <c r="D259" s="27"/>
      <c r="E259" s="27">
        <f>SUM(E241:E258)</f>
        <v>125904</v>
      </c>
      <c r="F259" s="27"/>
      <c r="G259" s="27">
        <f>SUM(G241:G258)</f>
        <v>122826</v>
      </c>
      <c r="H259" s="27"/>
      <c r="I259" s="27">
        <f>SUM(I241:I258)</f>
        <v>10462</v>
      </c>
      <c r="J259" s="27"/>
      <c r="K259" s="27">
        <f>SUM(K241:K258)</f>
        <v>267431</v>
      </c>
    </row>
    <row r="260" spans="2:12" x14ac:dyDescent="0.3">
      <c r="B260" s="38" t="s">
        <v>226</v>
      </c>
      <c r="C260" s="23">
        <f>C259 / K259</f>
        <v>3.0807946722706044E-2</v>
      </c>
      <c r="D260" s="8"/>
      <c r="E260" s="23">
        <f>E259 / K259</f>
        <v>0.47079059645291682</v>
      </c>
      <c r="F260" s="8"/>
      <c r="G260" s="23">
        <f>G259 / K259</f>
        <v>0.45928108558843217</v>
      </c>
      <c r="H260" s="8"/>
      <c r="I260" s="23">
        <f>I259 / K259</f>
        <v>3.9120371235944973E-2</v>
      </c>
      <c r="J260" s="8"/>
      <c r="K260" s="23">
        <f>K259 / K259</f>
        <v>1</v>
      </c>
    </row>
    <row r="262" spans="2:12" x14ac:dyDescent="0.3">
      <c r="B262" s="11" t="s">
        <v>277</v>
      </c>
      <c r="C262" s="12"/>
      <c r="D262" s="12"/>
      <c r="E262" s="12"/>
      <c r="F262" s="12"/>
      <c r="G262" s="12"/>
      <c r="H262" s="12"/>
      <c r="I262" s="12"/>
      <c r="J262" s="12"/>
      <c r="K262" s="12"/>
    </row>
    <row r="263" spans="2:12" x14ac:dyDescent="0.3">
      <c r="B263" s="12"/>
      <c r="C263" s="12"/>
      <c r="D263" s="12"/>
      <c r="E263" s="61" t="s">
        <v>265</v>
      </c>
      <c r="F263" s="61"/>
      <c r="G263" s="61"/>
      <c r="H263" s="61"/>
      <c r="I263" s="61"/>
      <c r="J263" s="61"/>
      <c r="K263" s="12"/>
    </row>
    <row r="264" spans="2:12" s="6" customFormat="1" ht="75" customHeight="1" x14ac:dyDescent="0.3">
      <c r="B264" s="20" t="s">
        <v>1</v>
      </c>
      <c r="C264" s="20" t="s">
        <v>75</v>
      </c>
      <c r="D264" s="20"/>
      <c r="E264" s="20" t="s">
        <v>4</v>
      </c>
      <c r="F264" s="20"/>
      <c r="G264" s="20" t="s">
        <v>5</v>
      </c>
      <c r="H264" s="20"/>
      <c r="I264" s="20" t="s">
        <v>6</v>
      </c>
      <c r="J264" s="20"/>
      <c r="K264" s="21" t="s">
        <v>224</v>
      </c>
      <c r="L264" s="37"/>
    </row>
    <row r="265" spans="2:12" x14ac:dyDescent="0.3">
      <c r="B265" s="9" t="s">
        <v>41</v>
      </c>
      <c r="C265" s="9">
        <v>5376</v>
      </c>
      <c r="D265" s="22">
        <f>IF(210031&gt;0,C265 / K265,0)</f>
        <v>2.5596221510158026E-2</v>
      </c>
      <c r="E265" s="9">
        <v>86088</v>
      </c>
      <c r="F265" s="22">
        <f>IF(210031&gt;0,E265 / K265,0)</f>
        <v>0.40988235070061085</v>
      </c>
      <c r="G265" s="9">
        <v>110258</v>
      </c>
      <c r="H265" s="22">
        <f>IF(210031&gt;0,G265 / K265,0)</f>
        <v>0.52496060105413012</v>
      </c>
      <c r="I265" s="9">
        <v>8309</v>
      </c>
      <c r="J265" s="22">
        <f>IF(210031&gt;0,I265 / K265,0)</f>
        <v>3.9560826735101008E-2</v>
      </c>
      <c r="K265" s="9">
        <f t="shared" ref="K265:K305" si="11">C265+E265+G265+I265</f>
        <v>210031</v>
      </c>
      <c r="L265" s="36"/>
    </row>
    <row r="266" spans="2:12" x14ac:dyDescent="0.3">
      <c r="B266" s="9" t="s">
        <v>76</v>
      </c>
      <c r="C266" s="9">
        <v>1431</v>
      </c>
      <c r="D266" s="22">
        <f>IF(12954&gt;0,C266 / K266,0)</f>
        <v>0.11046780917091246</v>
      </c>
      <c r="E266" s="9">
        <v>5307</v>
      </c>
      <c r="F266" s="22">
        <f>IF(12954&gt;0,E266 / K266,0)</f>
        <v>0.4096804075961093</v>
      </c>
      <c r="G266" s="9">
        <v>6148</v>
      </c>
      <c r="H266" s="22">
        <f>IF(12954&gt;0,G266 / K266,0)</f>
        <v>0.47460243940095725</v>
      </c>
      <c r="I266" s="9">
        <v>68</v>
      </c>
      <c r="J266" s="22">
        <f>IF(12954&gt;0,I266 / K266,0)</f>
        <v>5.2493438320209973E-3</v>
      </c>
      <c r="K266" s="9">
        <f t="shared" si="11"/>
        <v>12954</v>
      </c>
      <c r="L266" s="36"/>
    </row>
    <row r="267" spans="2:12" x14ac:dyDescent="0.3">
      <c r="B267" s="9" t="s">
        <v>42</v>
      </c>
      <c r="C267" s="9">
        <v>54</v>
      </c>
      <c r="D267" s="22">
        <f>IF(239&gt;0,C267 / K267,0)</f>
        <v>0.22594142259414227</v>
      </c>
      <c r="E267" s="9">
        <v>102</v>
      </c>
      <c r="F267" s="22">
        <f>IF(239&gt;0,E267 / K267,0)</f>
        <v>0.42677824267782427</v>
      </c>
      <c r="G267" s="9">
        <v>70</v>
      </c>
      <c r="H267" s="22">
        <f>IF(239&gt;0,G267 / K267,0)</f>
        <v>0.29288702928870292</v>
      </c>
      <c r="I267" s="9">
        <v>13</v>
      </c>
      <c r="J267" s="22">
        <f>IF(239&gt;0,I267 / K267,0)</f>
        <v>5.4393305439330547E-2</v>
      </c>
      <c r="K267" s="9">
        <f t="shared" si="11"/>
        <v>239</v>
      </c>
      <c r="L267" s="36"/>
    </row>
    <row r="268" spans="2:12" x14ac:dyDescent="0.3">
      <c r="B268" s="9" t="s">
        <v>43</v>
      </c>
      <c r="C268" s="9">
        <v>2</v>
      </c>
      <c r="D268" s="22">
        <f>IF(1951&gt;0,C268 / K268,0)</f>
        <v>1.0251153254741158E-3</v>
      </c>
      <c r="E268" s="9">
        <v>720</v>
      </c>
      <c r="F268" s="22">
        <f>IF(1951&gt;0,E268 / K268,0)</f>
        <v>0.36904151717068168</v>
      </c>
      <c r="G268" s="9">
        <v>1229</v>
      </c>
      <c r="H268" s="22">
        <f>IF(1951&gt;0,G268 / K268,0)</f>
        <v>0.62993336750384421</v>
      </c>
      <c r="I268" s="9">
        <v>0</v>
      </c>
      <c r="J268" s="22">
        <f>IF(1951&gt;0,I268 / K268,0)</f>
        <v>0</v>
      </c>
      <c r="K268" s="9">
        <f t="shared" si="11"/>
        <v>1951</v>
      </c>
      <c r="L268" s="36"/>
    </row>
    <row r="269" spans="2:12" x14ac:dyDescent="0.3">
      <c r="B269" s="9" t="s">
        <v>44</v>
      </c>
      <c r="C269" s="9">
        <v>0</v>
      </c>
      <c r="D269" s="22">
        <f>IF(0&gt;0,C269 / K269,0)</f>
        <v>0</v>
      </c>
      <c r="E269" s="9">
        <v>0</v>
      </c>
      <c r="F269" s="22">
        <f>IF(0&gt;0,E269 / K269,0)</f>
        <v>0</v>
      </c>
      <c r="G269" s="9">
        <v>0</v>
      </c>
      <c r="H269" s="22">
        <f>IF(0&gt;0,G269 / K269,0)</f>
        <v>0</v>
      </c>
      <c r="I269" s="9">
        <v>0</v>
      </c>
      <c r="J269" s="22">
        <f>IF(0&gt;0,I269 / K269,0)</f>
        <v>0</v>
      </c>
      <c r="K269" s="9">
        <f t="shared" si="11"/>
        <v>0</v>
      </c>
      <c r="L269" s="36"/>
    </row>
    <row r="270" spans="2:12" x14ac:dyDescent="0.3">
      <c r="B270" s="9" t="s">
        <v>45</v>
      </c>
      <c r="C270" s="9">
        <v>0</v>
      </c>
      <c r="D270" s="22">
        <f>IF(1770&gt;0,C270 / K270,0)</f>
        <v>0</v>
      </c>
      <c r="E270" s="9">
        <v>803</v>
      </c>
      <c r="F270" s="22">
        <f>IF(1770&gt;0,E270 / K270,0)</f>
        <v>0.45367231638418082</v>
      </c>
      <c r="G270" s="9">
        <v>933</v>
      </c>
      <c r="H270" s="22">
        <f>IF(1770&gt;0,G270 / K270,0)</f>
        <v>0.52711864406779663</v>
      </c>
      <c r="I270" s="9">
        <v>34</v>
      </c>
      <c r="J270" s="22">
        <f>IF(1770&gt;0,I270 / K270,0)</f>
        <v>1.92090395480226E-2</v>
      </c>
      <c r="K270" s="9">
        <f t="shared" si="11"/>
        <v>1770</v>
      </c>
      <c r="L270" s="36"/>
    </row>
    <row r="271" spans="2:12" x14ac:dyDescent="0.3">
      <c r="B271" s="9" t="s">
        <v>207</v>
      </c>
      <c r="C271" s="9">
        <v>0</v>
      </c>
      <c r="D271" s="22">
        <f>IF(431&gt;0,C271 / K271,0)</f>
        <v>0</v>
      </c>
      <c r="E271" s="9">
        <v>267</v>
      </c>
      <c r="F271" s="22">
        <f>IF(431&gt;0,E271 / K271,0)</f>
        <v>0.61948955916473314</v>
      </c>
      <c r="G271" s="9">
        <v>155</v>
      </c>
      <c r="H271" s="22">
        <f>IF(431&gt;0,G271 / K271,0)</f>
        <v>0.35962877030162416</v>
      </c>
      <c r="I271" s="9">
        <v>9</v>
      </c>
      <c r="J271" s="22">
        <f>IF(431&gt;0,I271 / K271,0)</f>
        <v>2.0881670533642691E-2</v>
      </c>
      <c r="K271" s="9">
        <f t="shared" si="11"/>
        <v>431</v>
      </c>
      <c r="L271" s="36"/>
    </row>
    <row r="272" spans="2:12" x14ac:dyDescent="0.3">
      <c r="B272" s="9" t="s">
        <v>46</v>
      </c>
      <c r="C272" s="9">
        <v>111</v>
      </c>
      <c r="D272" s="22">
        <f>IF(566&gt;0,C272 / K272,0)</f>
        <v>0.196113074204947</v>
      </c>
      <c r="E272" s="9">
        <v>306</v>
      </c>
      <c r="F272" s="22">
        <f>IF(566&gt;0,E272 / K272,0)</f>
        <v>0.54063604240282681</v>
      </c>
      <c r="G272" s="9">
        <v>146</v>
      </c>
      <c r="H272" s="22">
        <f>IF(566&gt;0,G272 / K272,0)</f>
        <v>0.25795053003533569</v>
      </c>
      <c r="I272" s="9">
        <v>3</v>
      </c>
      <c r="J272" s="22">
        <f>IF(566&gt;0,I272 / K272,0)</f>
        <v>5.3003533568904597E-3</v>
      </c>
      <c r="K272" s="9">
        <f t="shared" si="11"/>
        <v>566</v>
      </c>
      <c r="L272" s="36"/>
    </row>
    <row r="273" spans="2:12" x14ac:dyDescent="0.3">
      <c r="B273" s="9" t="s">
        <v>47</v>
      </c>
      <c r="C273" s="9">
        <v>0</v>
      </c>
      <c r="D273" s="22">
        <f>IF(126&gt;0,C273 / K273,0)</f>
        <v>0</v>
      </c>
      <c r="E273" s="9">
        <v>85</v>
      </c>
      <c r="F273" s="22">
        <f>IF(126&gt;0,E273 / K273,0)</f>
        <v>0.67460317460317465</v>
      </c>
      <c r="G273" s="9">
        <v>41</v>
      </c>
      <c r="H273" s="22">
        <f>IF(126&gt;0,G273 / K273,0)</f>
        <v>0.32539682539682541</v>
      </c>
      <c r="I273" s="9">
        <v>0</v>
      </c>
      <c r="J273" s="22">
        <f>IF(126&gt;0,I273 / K273,0)</f>
        <v>0</v>
      </c>
      <c r="K273" s="9">
        <f t="shared" si="11"/>
        <v>126</v>
      </c>
      <c r="L273" s="36"/>
    </row>
    <row r="274" spans="2:12" x14ac:dyDescent="0.3">
      <c r="B274" s="9" t="s">
        <v>48</v>
      </c>
      <c r="C274" s="9">
        <v>0</v>
      </c>
      <c r="D274" s="22">
        <f>IF(657&gt;0,C274 / K274,0)</f>
        <v>0</v>
      </c>
      <c r="E274" s="9">
        <v>596</v>
      </c>
      <c r="F274" s="22">
        <f>IF(657&gt;0,E274 / K274,0)</f>
        <v>0.90715372907153724</v>
      </c>
      <c r="G274" s="9">
        <v>61</v>
      </c>
      <c r="H274" s="22">
        <f>IF(657&gt;0,G274 / K274,0)</f>
        <v>9.2846270928462704E-2</v>
      </c>
      <c r="I274" s="9">
        <v>0</v>
      </c>
      <c r="J274" s="22">
        <f>IF(657&gt;0,I274 / K274,0)</f>
        <v>0</v>
      </c>
      <c r="K274" s="9">
        <f t="shared" si="11"/>
        <v>657</v>
      </c>
      <c r="L274" s="36"/>
    </row>
    <row r="275" spans="2:12" x14ac:dyDescent="0.3">
      <c r="B275" s="9" t="s">
        <v>49</v>
      </c>
      <c r="C275" s="9">
        <v>0</v>
      </c>
      <c r="D275" s="22">
        <f>IF(48&gt;0,C275 / K275,0)</f>
        <v>0</v>
      </c>
      <c r="E275" s="9">
        <v>24</v>
      </c>
      <c r="F275" s="22">
        <f>IF(48&gt;0,E275 / K275,0)</f>
        <v>0.5</v>
      </c>
      <c r="G275" s="9">
        <v>24</v>
      </c>
      <c r="H275" s="22">
        <f>IF(48&gt;0,G275 / K275,0)</f>
        <v>0.5</v>
      </c>
      <c r="I275" s="9">
        <v>0</v>
      </c>
      <c r="J275" s="22">
        <f>IF(48&gt;0,I275 / K275,0)</f>
        <v>0</v>
      </c>
      <c r="K275" s="9">
        <f t="shared" si="11"/>
        <v>48</v>
      </c>
      <c r="L275" s="36"/>
    </row>
    <row r="276" spans="2:12" x14ac:dyDescent="0.3">
      <c r="B276" s="9" t="s">
        <v>208</v>
      </c>
      <c r="C276" s="9">
        <v>0</v>
      </c>
      <c r="D276" s="22">
        <f>IF(0&gt;0,C276 / K276,0)</f>
        <v>0</v>
      </c>
      <c r="E276" s="9">
        <v>0</v>
      </c>
      <c r="F276" s="22">
        <f>IF(0&gt;0,E276 / K276,0)</f>
        <v>0</v>
      </c>
      <c r="G276" s="9">
        <v>0</v>
      </c>
      <c r="H276" s="22">
        <f>IF(0&gt;0,G276 / K276,0)</f>
        <v>0</v>
      </c>
      <c r="I276" s="9">
        <v>0</v>
      </c>
      <c r="J276" s="22">
        <f>IF(0&gt;0,I276 / K276,0)</f>
        <v>0</v>
      </c>
      <c r="K276" s="9">
        <f t="shared" si="11"/>
        <v>0</v>
      </c>
      <c r="L276" s="36"/>
    </row>
    <row r="277" spans="2:12" x14ac:dyDescent="0.3">
      <c r="B277" s="9" t="s">
        <v>50</v>
      </c>
      <c r="C277" s="9">
        <v>6</v>
      </c>
      <c r="D277" s="22">
        <f>IF(720&gt;0,C277 / K277,0)</f>
        <v>8.3333333333333332E-3</v>
      </c>
      <c r="E277" s="9">
        <v>708</v>
      </c>
      <c r="F277" s="22">
        <f>IF(720&gt;0,E277 / K277,0)</f>
        <v>0.98333333333333328</v>
      </c>
      <c r="G277" s="9">
        <v>6</v>
      </c>
      <c r="H277" s="22">
        <f>IF(720&gt;0,G277 / K277,0)</f>
        <v>8.3333333333333332E-3</v>
      </c>
      <c r="I277" s="9">
        <v>0</v>
      </c>
      <c r="J277" s="22">
        <f>IF(720&gt;0,I277 / K277,0)</f>
        <v>0</v>
      </c>
      <c r="K277" s="9">
        <f t="shared" si="11"/>
        <v>720</v>
      </c>
      <c r="L277" s="36"/>
    </row>
    <row r="278" spans="2:12" x14ac:dyDescent="0.3">
      <c r="B278" s="9" t="s">
        <v>51</v>
      </c>
      <c r="C278" s="9">
        <v>438</v>
      </c>
      <c r="D278" s="22">
        <f>IF(5900&gt;0,C278 / K278,0)</f>
        <v>7.4237288135593216E-2</v>
      </c>
      <c r="E278" s="9">
        <v>2735</v>
      </c>
      <c r="F278" s="22">
        <f>IF(5900&gt;0,E278 / K278,0)</f>
        <v>0.46355932203389832</v>
      </c>
      <c r="G278" s="9">
        <v>1665</v>
      </c>
      <c r="H278" s="22">
        <f>IF(5900&gt;0,G278 / K278,0)</f>
        <v>0.28220338983050847</v>
      </c>
      <c r="I278" s="9">
        <v>1062</v>
      </c>
      <c r="J278" s="22">
        <f>IF(5900&gt;0,I278 / K278,0)</f>
        <v>0.18</v>
      </c>
      <c r="K278" s="9">
        <f t="shared" si="11"/>
        <v>5900</v>
      </c>
      <c r="L278" s="36"/>
    </row>
    <row r="279" spans="2:12" x14ac:dyDescent="0.3">
      <c r="B279" s="9" t="s">
        <v>52</v>
      </c>
      <c r="C279" s="9">
        <v>0</v>
      </c>
      <c r="D279" s="22">
        <f>IF(42&gt;0,C279 / K279,0)</f>
        <v>0</v>
      </c>
      <c r="E279" s="9">
        <v>14</v>
      </c>
      <c r="F279" s="22">
        <f>IF(42&gt;0,E279 / K279,0)</f>
        <v>0.33333333333333331</v>
      </c>
      <c r="G279" s="9">
        <v>28</v>
      </c>
      <c r="H279" s="22">
        <f>IF(42&gt;0,G279 / K279,0)</f>
        <v>0.66666666666666663</v>
      </c>
      <c r="I279" s="9">
        <v>0</v>
      </c>
      <c r="J279" s="22">
        <f>IF(42&gt;0,I279 / K279,0)</f>
        <v>0</v>
      </c>
      <c r="K279" s="9">
        <f t="shared" si="11"/>
        <v>42</v>
      </c>
      <c r="L279" s="36"/>
    </row>
    <row r="280" spans="2:12" x14ac:dyDescent="0.3">
      <c r="B280" s="9" t="s">
        <v>53</v>
      </c>
      <c r="C280" s="9">
        <v>34</v>
      </c>
      <c r="D280" s="22">
        <f>IF(1696&gt;0,C280 / K280,0)</f>
        <v>2.0047169811320754E-2</v>
      </c>
      <c r="E280" s="9">
        <v>941</v>
      </c>
      <c r="F280" s="22">
        <f>IF(1696&gt;0,E280 / K280,0)</f>
        <v>0.55483490566037741</v>
      </c>
      <c r="G280" s="9">
        <v>694</v>
      </c>
      <c r="H280" s="22">
        <f>IF(1696&gt;0,G280 / K280,0)</f>
        <v>0.40919811320754718</v>
      </c>
      <c r="I280" s="9">
        <v>27</v>
      </c>
      <c r="J280" s="22">
        <f>IF(1696&gt;0,I280 / K280,0)</f>
        <v>1.5919811320754717E-2</v>
      </c>
      <c r="K280" s="9">
        <f t="shared" si="11"/>
        <v>1696</v>
      </c>
      <c r="L280" s="36"/>
    </row>
    <row r="281" spans="2:12" x14ac:dyDescent="0.3">
      <c r="B281" s="9" t="s">
        <v>54</v>
      </c>
      <c r="C281" s="9">
        <v>0</v>
      </c>
      <c r="D281" s="22">
        <f>IF(3016&gt;0,C281 / K281,0)</f>
        <v>0</v>
      </c>
      <c r="E281" s="9">
        <v>2861</v>
      </c>
      <c r="F281" s="22">
        <f>IF(3016&gt;0,E281 / K281,0)</f>
        <v>0.94860742705570289</v>
      </c>
      <c r="G281" s="9">
        <v>150</v>
      </c>
      <c r="H281" s="22">
        <f>IF(3016&gt;0,G281 / K281,0)</f>
        <v>4.9734748010610078E-2</v>
      </c>
      <c r="I281" s="9">
        <v>5</v>
      </c>
      <c r="J281" s="22">
        <f>IF(3016&gt;0,I281 / K281,0)</f>
        <v>1.6578249336870027E-3</v>
      </c>
      <c r="K281" s="9">
        <f t="shared" si="11"/>
        <v>3016</v>
      </c>
      <c r="L281" s="36"/>
    </row>
    <row r="282" spans="2:12" x14ac:dyDescent="0.3">
      <c r="B282" s="9" t="s">
        <v>55</v>
      </c>
      <c r="C282" s="9">
        <v>0</v>
      </c>
      <c r="D282" s="22">
        <f>IF(0&gt;0,C282 / K282,0)</f>
        <v>0</v>
      </c>
      <c r="E282" s="9">
        <v>0</v>
      </c>
      <c r="F282" s="22">
        <f>IF(0&gt;0,E282 / K282,0)</f>
        <v>0</v>
      </c>
      <c r="G282" s="9">
        <v>0</v>
      </c>
      <c r="H282" s="22">
        <f>IF(0&gt;0,G282 / K282,0)</f>
        <v>0</v>
      </c>
      <c r="I282" s="9">
        <v>0</v>
      </c>
      <c r="J282" s="22">
        <f>IF(0&gt;0,I282 / K282,0)</f>
        <v>0</v>
      </c>
      <c r="K282" s="9">
        <f t="shared" si="11"/>
        <v>0</v>
      </c>
      <c r="L282" s="36"/>
    </row>
    <row r="283" spans="2:12" x14ac:dyDescent="0.3">
      <c r="B283" s="9" t="s">
        <v>209</v>
      </c>
      <c r="C283" s="9">
        <v>0</v>
      </c>
      <c r="D283" s="22">
        <f>IF(12&gt;0,C283 / K283,0)</f>
        <v>0</v>
      </c>
      <c r="E283" s="9">
        <v>5</v>
      </c>
      <c r="F283" s="22">
        <f>IF(12&gt;0,E283 / K283,0)</f>
        <v>0.41666666666666669</v>
      </c>
      <c r="G283" s="9">
        <v>7</v>
      </c>
      <c r="H283" s="22">
        <f>IF(12&gt;0,G283 / K283,0)</f>
        <v>0.58333333333333337</v>
      </c>
      <c r="I283" s="9">
        <v>0</v>
      </c>
      <c r="J283" s="22">
        <f>IF(12&gt;0,I283 / K283,0)</f>
        <v>0</v>
      </c>
      <c r="K283" s="9">
        <f t="shared" si="11"/>
        <v>12</v>
      </c>
      <c r="L283" s="36"/>
    </row>
    <row r="284" spans="2:12" x14ac:dyDescent="0.3">
      <c r="B284" s="9" t="s">
        <v>56</v>
      </c>
      <c r="C284" s="9">
        <v>0</v>
      </c>
      <c r="D284" s="22">
        <f>IF(70&gt;0,C284 / K284,0)</f>
        <v>0</v>
      </c>
      <c r="E284" s="9">
        <v>70</v>
      </c>
      <c r="F284" s="22">
        <f>IF(70&gt;0,E284 / K284,0)</f>
        <v>1</v>
      </c>
      <c r="G284" s="9">
        <v>0</v>
      </c>
      <c r="H284" s="22">
        <f>IF(70&gt;0,G284 / K284,0)</f>
        <v>0</v>
      </c>
      <c r="I284" s="9">
        <v>0</v>
      </c>
      <c r="J284" s="22">
        <f>IF(70&gt;0,I284 / K284,0)</f>
        <v>0</v>
      </c>
      <c r="K284" s="9">
        <f t="shared" si="11"/>
        <v>70</v>
      </c>
      <c r="L284" s="36"/>
    </row>
    <row r="285" spans="2:12" x14ac:dyDescent="0.3">
      <c r="B285" s="9" t="s">
        <v>57</v>
      </c>
      <c r="C285" s="9">
        <v>0</v>
      </c>
      <c r="D285" s="22">
        <f>IF(29&gt;0,C285 / K285,0)</f>
        <v>0</v>
      </c>
      <c r="E285" s="9">
        <v>6</v>
      </c>
      <c r="F285" s="22">
        <f>IF(29&gt;0,E285 / K285,0)</f>
        <v>0.20689655172413793</v>
      </c>
      <c r="G285" s="9">
        <v>23</v>
      </c>
      <c r="H285" s="22">
        <f>IF(29&gt;0,G285 / K285,0)</f>
        <v>0.7931034482758621</v>
      </c>
      <c r="I285" s="9">
        <v>0</v>
      </c>
      <c r="J285" s="22">
        <f>IF(29&gt;0,I285 / K285,0)</f>
        <v>0</v>
      </c>
      <c r="K285" s="9">
        <f t="shared" si="11"/>
        <v>29</v>
      </c>
      <c r="L285" s="36"/>
    </row>
    <row r="286" spans="2:12" x14ac:dyDescent="0.3">
      <c r="B286" s="9" t="s">
        <v>210</v>
      </c>
      <c r="C286" s="9">
        <v>0</v>
      </c>
      <c r="D286" s="22">
        <f>IF(4&gt;0,C286 / K286,0)</f>
        <v>0</v>
      </c>
      <c r="E286" s="9">
        <v>4</v>
      </c>
      <c r="F286" s="22">
        <f>IF(4&gt;0,E286 / K286,0)</f>
        <v>1</v>
      </c>
      <c r="G286" s="9">
        <v>0</v>
      </c>
      <c r="H286" s="22">
        <f>IF(4&gt;0,G286 / K286,0)</f>
        <v>0</v>
      </c>
      <c r="I286" s="9">
        <v>0</v>
      </c>
      <c r="J286" s="22">
        <f>IF(4&gt;0,I286 / K286,0)</f>
        <v>0</v>
      </c>
      <c r="K286" s="9">
        <f t="shared" si="11"/>
        <v>4</v>
      </c>
      <c r="L286" s="36"/>
    </row>
    <row r="287" spans="2:12" x14ac:dyDescent="0.3">
      <c r="B287" s="9" t="s">
        <v>58</v>
      </c>
      <c r="C287" s="9">
        <v>0</v>
      </c>
      <c r="D287" s="22">
        <f>IF(6&gt;0,C287 / K287,0)</f>
        <v>0</v>
      </c>
      <c r="E287" s="9">
        <v>0</v>
      </c>
      <c r="F287" s="22">
        <f>IF(6&gt;0,E287 / K287,0)</f>
        <v>0</v>
      </c>
      <c r="G287" s="9">
        <v>2</v>
      </c>
      <c r="H287" s="22">
        <f>IF(6&gt;0,G287 / K287,0)</f>
        <v>0.33333333333333331</v>
      </c>
      <c r="I287" s="9">
        <v>4</v>
      </c>
      <c r="J287" s="22">
        <f>IF(6&gt;0,I287 / K287,0)</f>
        <v>0.66666666666666663</v>
      </c>
      <c r="K287" s="9">
        <f t="shared" si="11"/>
        <v>6</v>
      </c>
      <c r="L287" s="36"/>
    </row>
    <row r="288" spans="2:12" x14ac:dyDescent="0.3">
      <c r="B288" s="9" t="s">
        <v>211</v>
      </c>
      <c r="C288" s="9">
        <v>0</v>
      </c>
      <c r="D288" s="22">
        <f>IF(3&gt;0,C288 / K288,0)</f>
        <v>0</v>
      </c>
      <c r="E288" s="9">
        <v>0</v>
      </c>
      <c r="F288" s="22">
        <f>IF(3&gt;0,E288 / K288,0)</f>
        <v>0</v>
      </c>
      <c r="G288" s="9">
        <v>2</v>
      </c>
      <c r="H288" s="22">
        <f>IF(3&gt;0,G288 / K288,0)</f>
        <v>0.66666666666666663</v>
      </c>
      <c r="I288" s="9">
        <v>1</v>
      </c>
      <c r="J288" s="22">
        <f>IF(3&gt;0,I288 / K288,0)</f>
        <v>0.33333333333333331</v>
      </c>
      <c r="K288" s="9">
        <f t="shared" si="11"/>
        <v>3</v>
      </c>
      <c r="L288" s="36"/>
    </row>
    <row r="289" spans="2:12" x14ac:dyDescent="0.3">
      <c r="B289" s="9" t="s">
        <v>212</v>
      </c>
      <c r="C289" s="9">
        <v>0</v>
      </c>
      <c r="D289" s="22">
        <f>IF(2&gt;0,C289 / K289,0)</f>
        <v>0</v>
      </c>
      <c r="E289" s="9">
        <v>2</v>
      </c>
      <c r="F289" s="22">
        <f>IF(2&gt;0,E289 / K289,0)</f>
        <v>1</v>
      </c>
      <c r="G289" s="9">
        <v>0</v>
      </c>
      <c r="H289" s="22">
        <f>IF(2&gt;0,G289 / K289,0)</f>
        <v>0</v>
      </c>
      <c r="I289" s="9">
        <v>0</v>
      </c>
      <c r="J289" s="22">
        <f>IF(2&gt;0,I289 / K289,0)</f>
        <v>0</v>
      </c>
      <c r="K289" s="9">
        <f t="shared" si="11"/>
        <v>2</v>
      </c>
      <c r="L289" s="36"/>
    </row>
    <row r="290" spans="2:12" x14ac:dyDescent="0.3">
      <c r="B290" s="9" t="s">
        <v>213</v>
      </c>
      <c r="C290" s="9">
        <v>0</v>
      </c>
      <c r="D290" s="22">
        <f>IF(0&gt;0,C290 / K290,0)</f>
        <v>0</v>
      </c>
      <c r="E290" s="9">
        <v>0</v>
      </c>
      <c r="F290" s="22">
        <f>IF(0&gt;0,E290 / K290,0)</f>
        <v>0</v>
      </c>
      <c r="G290" s="9">
        <v>0</v>
      </c>
      <c r="H290" s="22">
        <f>IF(0&gt;0,G290 / K290,0)</f>
        <v>0</v>
      </c>
      <c r="I290" s="9">
        <v>0</v>
      </c>
      <c r="J290" s="22">
        <f>IF(0&gt;0,I290 / K290,0)</f>
        <v>0</v>
      </c>
      <c r="K290" s="9">
        <f t="shared" si="11"/>
        <v>0</v>
      </c>
      <c r="L290" s="36"/>
    </row>
    <row r="291" spans="2:12" x14ac:dyDescent="0.3">
      <c r="B291" s="9" t="s">
        <v>59</v>
      </c>
      <c r="C291" s="9">
        <v>0</v>
      </c>
      <c r="D291" s="22">
        <f>IF(0&gt;0,C291 / K291,0)</f>
        <v>0</v>
      </c>
      <c r="E291" s="9">
        <v>0</v>
      </c>
      <c r="F291" s="22">
        <f>IF(0&gt;0,E291 / K291,0)</f>
        <v>0</v>
      </c>
      <c r="G291" s="9">
        <v>0</v>
      </c>
      <c r="H291" s="22">
        <f>IF(0&gt;0,G291 / K291,0)</f>
        <v>0</v>
      </c>
      <c r="I291" s="9">
        <v>0</v>
      </c>
      <c r="J291" s="22">
        <f>IF(0&gt;0,I291 / K291,0)</f>
        <v>0</v>
      </c>
      <c r="K291" s="9">
        <f t="shared" si="11"/>
        <v>0</v>
      </c>
      <c r="L291" s="36"/>
    </row>
    <row r="292" spans="2:12" x14ac:dyDescent="0.3">
      <c r="B292" s="9" t="s">
        <v>214</v>
      </c>
      <c r="C292" s="9">
        <v>2</v>
      </c>
      <c r="D292" s="22">
        <f>IF(289&gt;0,C292 / K292,0)</f>
        <v>6.920415224913495E-3</v>
      </c>
      <c r="E292" s="9">
        <v>269</v>
      </c>
      <c r="F292" s="22">
        <f>IF(289&gt;0,E292 / K292,0)</f>
        <v>0.9307958477508651</v>
      </c>
      <c r="G292" s="9">
        <v>18</v>
      </c>
      <c r="H292" s="22">
        <f>IF(289&gt;0,G292 / K292,0)</f>
        <v>6.228373702422145E-2</v>
      </c>
      <c r="I292" s="9">
        <v>0</v>
      </c>
      <c r="J292" s="22">
        <f>IF(289&gt;0,I292 / K292,0)</f>
        <v>0</v>
      </c>
      <c r="K292" s="9">
        <f t="shared" si="11"/>
        <v>289</v>
      </c>
      <c r="L292" s="36"/>
    </row>
    <row r="293" spans="2:12" x14ac:dyDescent="0.3">
      <c r="B293" s="9" t="s">
        <v>60</v>
      </c>
      <c r="C293" s="9">
        <v>86</v>
      </c>
      <c r="D293" s="22">
        <f>IF(8204&gt;0,C293 / K293,0)</f>
        <v>1.0482691370063383E-2</v>
      </c>
      <c r="E293" s="9">
        <v>7110</v>
      </c>
      <c r="F293" s="22">
        <f>IF(8204&gt;0,E293 / K293,0)</f>
        <v>0.86665041443198443</v>
      </c>
      <c r="G293" s="9">
        <v>374</v>
      </c>
      <c r="H293" s="22">
        <f>IF(8204&gt;0,G293 / K293,0)</f>
        <v>4.558751828376402E-2</v>
      </c>
      <c r="I293" s="9">
        <v>634</v>
      </c>
      <c r="J293" s="22">
        <f>IF(8204&gt;0,I293 / K293,0)</f>
        <v>7.7279375914188195E-2</v>
      </c>
      <c r="K293" s="9">
        <f t="shared" si="11"/>
        <v>8204</v>
      </c>
      <c r="L293" s="36"/>
    </row>
    <row r="294" spans="2:12" x14ac:dyDescent="0.3">
      <c r="B294" s="9" t="s">
        <v>61</v>
      </c>
      <c r="C294" s="9">
        <v>0</v>
      </c>
      <c r="D294" s="22">
        <f>IF(77&gt;0,C294 / K294,0)</f>
        <v>0</v>
      </c>
      <c r="E294" s="9">
        <v>77</v>
      </c>
      <c r="F294" s="22">
        <f>IF(77&gt;0,E294 / K294,0)</f>
        <v>1</v>
      </c>
      <c r="G294" s="9">
        <v>0</v>
      </c>
      <c r="H294" s="22">
        <f>IF(77&gt;0,G294 / K294,0)</f>
        <v>0</v>
      </c>
      <c r="I294" s="9">
        <v>0</v>
      </c>
      <c r="J294" s="22">
        <f>IF(77&gt;0,I294 / K294,0)</f>
        <v>0</v>
      </c>
      <c r="K294" s="9">
        <f t="shared" si="11"/>
        <v>77</v>
      </c>
      <c r="L294" s="36"/>
    </row>
    <row r="295" spans="2:12" x14ac:dyDescent="0.3">
      <c r="B295" s="9" t="s">
        <v>78</v>
      </c>
      <c r="C295" s="9">
        <v>5</v>
      </c>
      <c r="D295" s="22">
        <f>IF(433&gt;0,C295 / K295,0)</f>
        <v>1.1547344110854504E-2</v>
      </c>
      <c r="E295" s="9">
        <v>311</v>
      </c>
      <c r="F295" s="22">
        <f>IF(433&gt;0,E295 / K295,0)</f>
        <v>0.71824480369515009</v>
      </c>
      <c r="G295" s="9">
        <v>2</v>
      </c>
      <c r="H295" s="22">
        <f>IF(433&gt;0,G295 / K295,0)</f>
        <v>4.6189376443418013E-3</v>
      </c>
      <c r="I295" s="9">
        <v>115</v>
      </c>
      <c r="J295" s="22">
        <f>IF(433&gt;0,I295 / K295,0)</f>
        <v>0.26558891454965355</v>
      </c>
      <c r="K295" s="9">
        <f t="shared" si="11"/>
        <v>433</v>
      </c>
      <c r="L295" s="36"/>
    </row>
    <row r="296" spans="2:12" x14ac:dyDescent="0.3">
      <c r="B296" s="9" t="s">
        <v>62</v>
      </c>
      <c r="C296" s="9">
        <v>0</v>
      </c>
      <c r="D296" s="22">
        <f>IF(35&gt;0,C296 / K296,0)</f>
        <v>0</v>
      </c>
      <c r="E296" s="9">
        <v>35</v>
      </c>
      <c r="F296" s="22">
        <f>IF(35&gt;0,E296 / K296,0)</f>
        <v>1</v>
      </c>
      <c r="G296" s="9">
        <v>0</v>
      </c>
      <c r="H296" s="22">
        <f>IF(35&gt;0,G296 / K296,0)</f>
        <v>0</v>
      </c>
      <c r="I296" s="9">
        <v>0</v>
      </c>
      <c r="J296" s="22">
        <f>IF(35&gt;0,I296 / K296,0)</f>
        <v>0</v>
      </c>
      <c r="K296" s="9">
        <f t="shared" si="11"/>
        <v>35</v>
      </c>
      <c r="L296" s="36"/>
    </row>
    <row r="297" spans="2:12" x14ac:dyDescent="0.3">
      <c r="B297" s="9" t="s">
        <v>314</v>
      </c>
      <c r="C297" s="9">
        <v>0</v>
      </c>
      <c r="D297" s="22">
        <f>IF(0&gt;0,C297 / K297,0)</f>
        <v>0</v>
      </c>
      <c r="E297" s="9">
        <v>0</v>
      </c>
      <c r="F297" s="22">
        <f>IF(0&gt;0,E297 / K297,0)</f>
        <v>0</v>
      </c>
      <c r="G297" s="9">
        <v>0</v>
      </c>
      <c r="H297" s="22">
        <f>IF(0&gt;0,G297 / K297,0)</f>
        <v>0</v>
      </c>
      <c r="I297" s="9">
        <v>0</v>
      </c>
      <c r="J297" s="22">
        <f>IF(0&gt;0,I297 / K297,0)</f>
        <v>0</v>
      </c>
      <c r="K297" s="9">
        <f t="shared" si="11"/>
        <v>0</v>
      </c>
      <c r="L297" s="36"/>
    </row>
    <row r="298" spans="2:12" x14ac:dyDescent="0.3">
      <c r="B298" s="9" t="s">
        <v>79</v>
      </c>
      <c r="C298" s="9">
        <v>0</v>
      </c>
      <c r="D298" s="22">
        <f>IF(20&gt;0,C298 / K298,0)</f>
        <v>0</v>
      </c>
      <c r="E298" s="9">
        <v>0</v>
      </c>
      <c r="F298" s="22">
        <f>IF(20&gt;0,E298 / K298,0)</f>
        <v>0</v>
      </c>
      <c r="G298" s="9">
        <v>20</v>
      </c>
      <c r="H298" s="22">
        <f>IF(20&gt;0,G298 / K298,0)</f>
        <v>1</v>
      </c>
      <c r="I298" s="9">
        <v>0</v>
      </c>
      <c r="J298" s="22">
        <f>IF(20&gt;0,I298 / K298,0)</f>
        <v>0</v>
      </c>
      <c r="K298" s="9">
        <f t="shared" si="11"/>
        <v>20</v>
      </c>
      <c r="L298" s="36"/>
    </row>
    <row r="299" spans="2:12" x14ac:dyDescent="0.3">
      <c r="B299" s="9" t="s">
        <v>215</v>
      </c>
      <c r="C299" s="9">
        <v>0</v>
      </c>
      <c r="D299" s="22">
        <f>IF(0&gt;0,C299 / K299,0)</f>
        <v>0</v>
      </c>
      <c r="E299" s="9">
        <v>0</v>
      </c>
      <c r="F299" s="22">
        <f>IF(0&gt;0,E299 / K299,0)</f>
        <v>0</v>
      </c>
      <c r="G299" s="9">
        <v>0</v>
      </c>
      <c r="H299" s="22">
        <f>IF(0&gt;0,G299 / K299,0)</f>
        <v>0</v>
      </c>
      <c r="I299" s="9">
        <v>0</v>
      </c>
      <c r="J299" s="22">
        <f>IF(0&gt;0,I299 / K299,0)</f>
        <v>0</v>
      </c>
      <c r="K299" s="9">
        <f t="shared" si="11"/>
        <v>0</v>
      </c>
      <c r="L299" s="36"/>
    </row>
    <row r="300" spans="2:12" x14ac:dyDescent="0.3">
      <c r="B300" s="9" t="s">
        <v>63</v>
      </c>
      <c r="C300" s="9">
        <v>694</v>
      </c>
      <c r="D300" s="22">
        <f>IF(3099&gt;0,C300 / K300,0)</f>
        <v>0.22394320748628591</v>
      </c>
      <c r="E300" s="9">
        <v>2405</v>
      </c>
      <c r="F300" s="22">
        <f>IF(3099&gt;0,E300 / K300,0)</f>
        <v>0.77605679251371407</v>
      </c>
      <c r="G300" s="9">
        <v>0</v>
      </c>
      <c r="H300" s="22">
        <f>IF(3099&gt;0,G300 / K300,0)</f>
        <v>0</v>
      </c>
      <c r="I300" s="9">
        <v>0</v>
      </c>
      <c r="J300" s="22">
        <f>IF(3099&gt;0,I300 / K300,0)</f>
        <v>0</v>
      </c>
      <c r="K300" s="9">
        <f t="shared" si="11"/>
        <v>3099</v>
      </c>
      <c r="L300" s="36"/>
    </row>
    <row r="301" spans="2:12" x14ac:dyDescent="0.3">
      <c r="B301" s="9" t="s">
        <v>216</v>
      </c>
      <c r="C301" s="9">
        <v>0</v>
      </c>
      <c r="D301" s="22">
        <f>IF(452&gt;0,C301 / K301,0)</f>
        <v>0</v>
      </c>
      <c r="E301" s="9">
        <v>405</v>
      </c>
      <c r="F301" s="22">
        <f>IF(452&gt;0,E301 / K301,0)</f>
        <v>0.89601769911504425</v>
      </c>
      <c r="G301" s="9">
        <v>47</v>
      </c>
      <c r="H301" s="22">
        <f>IF(452&gt;0,G301 / K301,0)</f>
        <v>0.10398230088495575</v>
      </c>
      <c r="I301" s="9">
        <v>0</v>
      </c>
      <c r="J301" s="22">
        <f>IF(452&gt;0,I301 / K301,0)</f>
        <v>0</v>
      </c>
      <c r="K301" s="9">
        <f t="shared" si="11"/>
        <v>452</v>
      </c>
      <c r="L301" s="36"/>
    </row>
    <row r="302" spans="2:12" x14ac:dyDescent="0.3">
      <c r="B302" s="9" t="s">
        <v>64</v>
      </c>
      <c r="C302" s="9">
        <v>0</v>
      </c>
      <c r="D302" s="22">
        <f>IF(2603&gt;0,C302 / K302,0)</f>
        <v>0</v>
      </c>
      <c r="E302" s="9">
        <v>2425</v>
      </c>
      <c r="F302" s="22">
        <f>IF(2603&gt;0,E302 / K302,0)</f>
        <v>0.93161736457933153</v>
      </c>
      <c r="G302" s="9">
        <v>0</v>
      </c>
      <c r="H302" s="22">
        <f>IF(2603&gt;0,G302 / K302,0)</f>
        <v>0</v>
      </c>
      <c r="I302" s="9">
        <v>178</v>
      </c>
      <c r="J302" s="22">
        <f>IF(2603&gt;0,I302 / K302,0)</f>
        <v>6.8382635420668456E-2</v>
      </c>
      <c r="K302" s="9">
        <f t="shared" si="11"/>
        <v>2603</v>
      </c>
      <c r="L302" s="36"/>
    </row>
    <row r="303" spans="2:12" x14ac:dyDescent="0.3">
      <c r="B303" s="9" t="s">
        <v>65</v>
      </c>
      <c r="C303" s="9">
        <v>0</v>
      </c>
      <c r="D303" s="22">
        <f>IF(0&gt;0,C303 / K303,0)</f>
        <v>0</v>
      </c>
      <c r="E303" s="9">
        <v>0</v>
      </c>
      <c r="F303" s="22">
        <f>IF(0&gt;0,E303 / K303,0)</f>
        <v>0</v>
      </c>
      <c r="G303" s="9">
        <v>0</v>
      </c>
      <c r="H303" s="22">
        <f>IF(0&gt;0,G303 / K303,0)</f>
        <v>0</v>
      </c>
      <c r="I303" s="9">
        <v>0</v>
      </c>
      <c r="J303" s="22">
        <f>IF(0&gt;0,I303 / K303,0)</f>
        <v>0</v>
      </c>
      <c r="K303" s="9">
        <f t="shared" si="11"/>
        <v>0</v>
      </c>
      <c r="L303" s="36"/>
    </row>
    <row r="304" spans="2:12" x14ac:dyDescent="0.3">
      <c r="B304" s="9" t="s">
        <v>217</v>
      </c>
      <c r="C304" s="9">
        <v>0</v>
      </c>
      <c r="D304" s="22">
        <f>IF(11946&gt;0,C304 / K304,0)</f>
        <v>0</v>
      </c>
      <c r="E304" s="9">
        <v>11223</v>
      </c>
      <c r="F304" s="22">
        <f>IF(11946&gt;0,E304 / K304,0)</f>
        <v>0.93947764942240075</v>
      </c>
      <c r="G304" s="9">
        <v>723</v>
      </c>
      <c r="H304" s="22">
        <f>IF(11946&gt;0,G304 / K304,0)</f>
        <v>6.0522350577599193E-2</v>
      </c>
      <c r="I304" s="9">
        <v>0</v>
      </c>
      <c r="J304" s="22">
        <f>IF(11946&gt;0,I304 / K304,0)</f>
        <v>0</v>
      </c>
      <c r="K304" s="9">
        <f t="shared" si="11"/>
        <v>11946</v>
      </c>
      <c r="L304" s="36"/>
    </row>
    <row r="305" spans="2:12" ht="15" thickBot="1" x14ac:dyDescent="0.35">
      <c r="B305" s="28" t="s">
        <v>66</v>
      </c>
      <c r="C305" s="28">
        <v>0</v>
      </c>
      <c r="D305" s="39">
        <f>IF(0&gt;0,C305 / K305,0)</f>
        <v>0</v>
      </c>
      <c r="E305" s="28">
        <v>0</v>
      </c>
      <c r="F305" s="39">
        <f>IF(0&gt;0,E305 / K305,0)</f>
        <v>0</v>
      </c>
      <c r="G305" s="28">
        <v>0</v>
      </c>
      <c r="H305" s="39">
        <f>IF(0&gt;0,G305 / K305,0)</f>
        <v>0</v>
      </c>
      <c r="I305" s="28">
        <v>0</v>
      </c>
      <c r="J305" s="39">
        <f>IF(0&gt;0,I305 / K305,0)</f>
        <v>0</v>
      </c>
      <c r="K305" s="28">
        <f t="shared" si="11"/>
        <v>0</v>
      </c>
      <c r="L305" s="36"/>
    </row>
    <row r="306" spans="2:12" x14ac:dyDescent="0.3">
      <c r="B306" s="27" t="s">
        <v>269</v>
      </c>
      <c r="C306" s="27">
        <f>SUM(C265:C305)</f>
        <v>8239</v>
      </c>
      <c r="D306" s="27"/>
      <c r="E306" s="27">
        <f>SUM(E265:E305)</f>
        <v>125904</v>
      </c>
      <c r="F306" s="27"/>
      <c r="G306" s="27">
        <f>SUM(G265:G305)</f>
        <v>122826</v>
      </c>
      <c r="H306" s="27"/>
      <c r="I306" s="27">
        <f>SUM(I265:I305)</f>
        <v>10462</v>
      </c>
      <c r="J306" s="27"/>
      <c r="K306" s="27">
        <f>SUM(K265:K305)</f>
        <v>267431</v>
      </c>
    </row>
    <row r="307" spans="2:12" x14ac:dyDescent="0.3">
      <c r="B307" s="38" t="s">
        <v>226</v>
      </c>
      <c r="C307" s="23">
        <f>C306 / K306</f>
        <v>3.0807946722706044E-2</v>
      </c>
      <c r="D307" s="8"/>
      <c r="E307" s="23">
        <f>E306 / K306</f>
        <v>0.47079059645291682</v>
      </c>
      <c r="F307" s="8"/>
      <c r="G307" s="23">
        <f>G306 / K306</f>
        <v>0.45928108558843217</v>
      </c>
      <c r="H307" s="8"/>
      <c r="I307" s="23">
        <f>I306 / K306</f>
        <v>3.9120371235944973E-2</v>
      </c>
      <c r="J307" s="8"/>
      <c r="K307" s="23">
        <f>K306 / K306</f>
        <v>1</v>
      </c>
    </row>
    <row r="310" spans="2:12" x14ac:dyDescent="0.3">
      <c r="B310" s="11" t="s">
        <v>303</v>
      </c>
      <c r="C310" s="12"/>
      <c r="D310" s="12"/>
      <c r="E310" s="12"/>
      <c r="F310" s="12"/>
      <c r="G310" s="12"/>
      <c r="H310" s="12"/>
      <c r="I310" s="12"/>
      <c r="J310" s="12"/>
      <c r="K310" s="12"/>
    </row>
    <row r="311" spans="2:12" x14ac:dyDescent="0.3">
      <c r="B311" s="12"/>
      <c r="C311" s="12"/>
      <c r="D311" s="12"/>
      <c r="E311" s="61" t="s">
        <v>265</v>
      </c>
      <c r="F311" s="61"/>
      <c r="G311" s="61"/>
      <c r="H311" s="61"/>
      <c r="I311" s="61"/>
      <c r="J311" s="61"/>
      <c r="K311" s="12"/>
    </row>
    <row r="312" spans="2:12" s="6" customFormat="1" ht="75" customHeight="1" x14ac:dyDescent="0.3">
      <c r="B312" s="20" t="s">
        <v>190</v>
      </c>
      <c r="C312" s="20" t="s">
        <v>75</v>
      </c>
      <c r="D312" s="20"/>
      <c r="E312" s="20" t="s">
        <v>4</v>
      </c>
      <c r="F312" s="20"/>
      <c r="G312" s="20" t="s">
        <v>5</v>
      </c>
      <c r="H312" s="20"/>
      <c r="I312" s="20" t="s">
        <v>6</v>
      </c>
      <c r="J312" s="20"/>
      <c r="K312" s="21" t="s">
        <v>224</v>
      </c>
      <c r="L312" s="37"/>
    </row>
    <row r="313" spans="2:12" x14ac:dyDescent="0.3">
      <c r="B313" s="9" t="s">
        <v>36</v>
      </c>
      <c r="C313" s="9">
        <v>20210</v>
      </c>
      <c r="D313" s="22">
        <f>IF(26658&gt;0,C313 / K313,0)</f>
        <v>0.75812138945157181</v>
      </c>
      <c r="E313" s="9">
        <v>3546</v>
      </c>
      <c r="F313" s="22">
        <f>IF(26658&gt;0,E313 / K313,0)</f>
        <v>0.13301823092505063</v>
      </c>
      <c r="G313" s="9">
        <v>2779</v>
      </c>
      <c r="H313" s="22">
        <f>IF(26658&gt;0,G313 / K313,0)</f>
        <v>0.10424638007352389</v>
      </c>
      <c r="I313" s="9">
        <v>123</v>
      </c>
      <c r="J313" s="22">
        <f>IF(26658&gt;0,I313 / K313,0)</f>
        <v>4.6139995498537022E-3</v>
      </c>
      <c r="K313" s="9">
        <f t="shared" ref="K313:K316" si="12">C313+E313+G313+I313</f>
        <v>26658</v>
      </c>
      <c r="L313" s="36"/>
    </row>
    <row r="314" spans="2:12" x14ac:dyDescent="0.3">
      <c r="B314" s="9" t="s">
        <v>35</v>
      </c>
      <c r="C314" s="9">
        <v>362</v>
      </c>
      <c r="D314" s="22">
        <f>IF(84007&gt;0,C314 / K314,0)</f>
        <v>4.3091647124644371E-3</v>
      </c>
      <c r="E314" s="9">
        <v>51329</v>
      </c>
      <c r="F314" s="22">
        <f>IF(84007&gt;0,E314 / K314,0)</f>
        <v>0.61100860642565502</v>
      </c>
      <c r="G314" s="9">
        <v>3888</v>
      </c>
      <c r="H314" s="22">
        <f>IF(84007&gt;0,G314 / K314,0)</f>
        <v>4.6281857464258933E-2</v>
      </c>
      <c r="I314" s="9">
        <v>28428</v>
      </c>
      <c r="J314" s="22">
        <f>IF(84007&gt;0,I314 / K314,0)</f>
        <v>0.33840037139762164</v>
      </c>
      <c r="K314" s="9">
        <f t="shared" si="12"/>
        <v>84007</v>
      </c>
      <c r="L314" s="36"/>
    </row>
    <row r="315" spans="2:12" x14ac:dyDescent="0.3">
      <c r="B315" s="9" t="s">
        <v>114</v>
      </c>
      <c r="C315" s="9">
        <v>245</v>
      </c>
      <c r="D315" s="22">
        <f>IF(12035&gt;0,C315 / K315,0)</f>
        <v>2.035729123390112E-2</v>
      </c>
      <c r="E315" s="9">
        <v>4856</v>
      </c>
      <c r="F315" s="22">
        <f>IF(12035&gt;0,E315 / K315,0)</f>
        <v>0.40348982135438305</v>
      </c>
      <c r="G315" s="9">
        <v>6431</v>
      </c>
      <c r="H315" s="22">
        <f>IF(12035&gt;0,G315 / K315,0)</f>
        <v>0.53435812214374745</v>
      </c>
      <c r="I315" s="9">
        <v>503</v>
      </c>
      <c r="J315" s="22">
        <f>IF(12035&gt;0,I315 / K315,0)</f>
        <v>4.1794765267968423E-2</v>
      </c>
      <c r="K315" s="9">
        <f t="shared" si="12"/>
        <v>12035</v>
      </c>
      <c r="L315" s="36"/>
    </row>
    <row r="316" spans="2:12" ht="15" thickBot="1" x14ac:dyDescent="0.35">
      <c r="B316" s="28" t="s">
        <v>37</v>
      </c>
      <c r="C316" s="28">
        <v>1041</v>
      </c>
      <c r="D316" s="39">
        <f>IF(190857&gt;0,C316 / K316,0)</f>
        <v>5.454345399959132E-3</v>
      </c>
      <c r="E316" s="28">
        <v>149688</v>
      </c>
      <c r="F316" s="39">
        <f>IF(190857&gt;0,E316 / K316,0)</f>
        <v>0.78429400022006002</v>
      </c>
      <c r="G316" s="28">
        <v>33799</v>
      </c>
      <c r="H316" s="39">
        <f>IF(190857&gt;0,G316 / K316,0)</f>
        <v>0.17709070141519567</v>
      </c>
      <c r="I316" s="28">
        <v>6329</v>
      </c>
      <c r="J316" s="39">
        <f>IF(190857&gt;0,I316 / K316,0)</f>
        <v>3.3160952964785155E-2</v>
      </c>
      <c r="K316" s="28">
        <f t="shared" si="12"/>
        <v>190857</v>
      </c>
      <c r="L316" s="36"/>
    </row>
    <row r="317" spans="2:12" x14ac:dyDescent="0.3">
      <c r="B317" s="27" t="s">
        <v>269</v>
      </c>
      <c r="C317" s="27">
        <f>SUM(C313:C316)</f>
        <v>21858</v>
      </c>
      <c r="D317" s="27"/>
      <c r="E317" s="27">
        <f>SUM(E313:E316)</f>
        <v>209419</v>
      </c>
      <c r="F317" s="27"/>
      <c r="G317" s="27">
        <f>SUM(G313:G316)</f>
        <v>46897</v>
      </c>
      <c r="H317" s="27"/>
      <c r="I317" s="27">
        <f>SUM(I313:I316)</f>
        <v>35383</v>
      </c>
      <c r="J317" s="27"/>
      <c r="K317" s="27">
        <f>SUM(K313:K316)</f>
        <v>313557</v>
      </c>
    </row>
    <row r="318" spans="2:12" x14ac:dyDescent="0.3">
      <c r="B318" s="38" t="s">
        <v>226</v>
      </c>
      <c r="C318" s="23">
        <f>C317 / K317</f>
        <v>6.9709813526727199E-2</v>
      </c>
      <c r="D318" s="8"/>
      <c r="E318" s="23">
        <f>E317 / K317</f>
        <v>0.66788175674598238</v>
      </c>
      <c r="F318" s="8"/>
      <c r="G318" s="23">
        <f>G317 / K317</f>
        <v>0.14956451299125836</v>
      </c>
      <c r="H318" s="8"/>
      <c r="I318" s="23">
        <f>I317 / K317</f>
        <v>0.11284391673603204</v>
      </c>
      <c r="J318" s="8"/>
      <c r="K318" s="23">
        <f>K317 / K317</f>
        <v>1</v>
      </c>
    </row>
    <row r="320" spans="2:12" x14ac:dyDescent="0.3">
      <c r="B320" s="11" t="s">
        <v>304</v>
      </c>
      <c r="C320" s="12"/>
      <c r="D320" s="12"/>
      <c r="E320" s="12"/>
      <c r="F320" s="12"/>
      <c r="G320" s="12"/>
      <c r="H320" s="12"/>
      <c r="I320" s="12"/>
      <c r="J320" s="12"/>
      <c r="K320" s="12"/>
    </row>
    <row r="321" spans="2:12" x14ac:dyDescent="0.3">
      <c r="B321" s="12"/>
      <c r="C321" s="12"/>
      <c r="D321" s="12"/>
      <c r="E321" s="61" t="s">
        <v>265</v>
      </c>
      <c r="F321" s="61"/>
      <c r="G321" s="61"/>
      <c r="H321" s="61"/>
      <c r="I321" s="61"/>
      <c r="J321" s="61"/>
      <c r="K321" s="12"/>
    </row>
    <row r="322" spans="2:12" s="6" customFormat="1" ht="75" customHeight="1" x14ac:dyDescent="0.3">
      <c r="B322" s="20" t="s">
        <v>1</v>
      </c>
      <c r="C322" s="20" t="s">
        <v>75</v>
      </c>
      <c r="D322" s="20"/>
      <c r="E322" s="20" t="s">
        <v>4</v>
      </c>
      <c r="F322" s="20"/>
      <c r="G322" s="20" t="s">
        <v>5</v>
      </c>
      <c r="H322" s="20"/>
      <c r="I322" s="20" t="s">
        <v>6</v>
      </c>
      <c r="J322" s="20"/>
      <c r="K322" s="21" t="s">
        <v>224</v>
      </c>
      <c r="L322" s="37"/>
    </row>
    <row r="323" spans="2:12" x14ac:dyDescent="0.3">
      <c r="B323" s="9" t="s">
        <v>41</v>
      </c>
      <c r="C323" s="9">
        <v>1175</v>
      </c>
      <c r="D323" s="22">
        <f>IF(111155&gt;0,C323 / K323,0)</f>
        <v>1.0570824524312896E-2</v>
      </c>
      <c r="E323" s="9">
        <v>64919</v>
      </c>
      <c r="F323" s="22">
        <f>IF(111155&gt;0,E323 / K323,0)</f>
        <v>0.58404030407988849</v>
      </c>
      <c r="G323" s="9">
        <v>18199</v>
      </c>
      <c r="H323" s="22">
        <f>IF(111155&gt;0,G323 / K323,0)</f>
        <v>0.16372632810040033</v>
      </c>
      <c r="I323" s="9">
        <v>26862</v>
      </c>
      <c r="J323" s="22">
        <f>IF(111155&gt;0,I323 / K323,0)</f>
        <v>0.24166254329539832</v>
      </c>
      <c r="K323" s="9">
        <f t="shared" ref="K323:K363" si="13">C323+E323+G323+I323</f>
        <v>111155</v>
      </c>
      <c r="L323" s="36"/>
    </row>
    <row r="324" spans="2:12" x14ac:dyDescent="0.3">
      <c r="B324" s="9" t="s">
        <v>76</v>
      </c>
      <c r="C324" s="9">
        <v>1247</v>
      </c>
      <c r="D324" s="22">
        <f>IF(86265&gt;0,C324 / K324,0)</f>
        <v>1.4455457021967193E-2</v>
      </c>
      <c r="E324" s="9">
        <v>70058</v>
      </c>
      <c r="F324" s="22">
        <f>IF(86265&gt;0,E324 / K324,0)</f>
        <v>0.81212542746189065</v>
      </c>
      <c r="G324" s="9">
        <v>14065</v>
      </c>
      <c r="H324" s="22">
        <f>IF(86265&gt;0,G324 / K324,0)</f>
        <v>0.16304410827102533</v>
      </c>
      <c r="I324" s="9">
        <v>895</v>
      </c>
      <c r="J324" s="22">
        <f>IF(86265&gt;0,I324 / K324,0)</f>
        <v>1.0375007245116792E-2</v>
      </c>
      <c r="K324" s="9">
        <f t="shared" si="13"/>
        <v>86265</v>
      </c>
      <c r="L324" s="36"/>
    </row>
    <row r="325" spans="2:12" x14ac:dyDescent="0.3">
      <c r="B325" s="9" t="s">
        <v>42</v>
      </c>
      <c r="C325" s="9">
        <v>0</v>
      </c>
      <c r="D325" s="22">
        <f>IF(7930&gt;0,C325 / K325,0)</f>
        <v>0</v>
      </c>
      <c r="E325" s="9">
        <v>5207</v>
      </c>
      <c r="F325" s="22">
        <f>IF(7930&gt;0,E325 / K325,0)</f>
        <v>0.65662042875157633</v>
      </c>
      <c r="G325" s="9">
        <v>581</v>
      </c>
      <c r="H325" s="22">
        <f>IF(7930&gt;0,G325 / K325,0)</f>
        <v>7.3266078184110975E-2</v>
      </c>
      <c r="I325" s="9">
        <v>2142</v>
      </c>
      <c r="J325" s="22">
        <f>IF(7930&gt;0,I325 / K325,0)</f>
        <v>0.27011349306431276</v>
      </c>
      <c r="K325" s="9">
        <f t="shared" si="13"/>
        <v>7930</v>
      </c>
      <c r="L325" s="36"/>
    </row>
    <row r="326" spans="2:12" x14ac:dyDescent="0.3">
      <c r="B326" s="9" t="s">
        <v>43</v>
      </c>
      <c r="C326" s="9">
        <v>0</v>
      </c>
      <c r="D326" s="22">
        <f>IF(33&gt;0,C326 / K326,0)</f>
        <v>0</v>
      </c>
      <c r="E326" s="9">
        <v>33</v>
      </c>
      <c r="F326" s="22">
        <f>IF(33&gt;0,E326 / K326,0)</f>
        <v>1</v>
      </c>
      <c r="G326" s="9">
        <v>0</v>
      </c>
      <c r="H326" s="22">
        <f>IF(33&gt;0,G326 / K326,0)</f>
        <v>0</v>
      </c>
      <c r="I326" s="9">
        <v>0</v>
      </c>
      <c r="J326" s="22">
        <f>IF(33&gt;0,I326 / K326,0)</f>
        <v>0</v>
      </c>
      <c r="K326" s="9">
        <f t="shared" si="13"/>
        <v>33</v>
      </c>
      <c r="L326" s="36"/>
    </row>
    <row r="327" spans="2:12" x14ac:dyDescent="0.3">
      <c r="B327" s="9" t="s">
        <v>44</v>
      </c>
      <c r="C327" s="9">
        <v>0</v>
      </c>
      <c r="D327" s="22">
        <f>IF(0&gt;0,C327 / K327,0)</f>
        <v>0</v>
      </c>
      <c r="E327" s="9">
        <v>0</v>
      </c>
      <c r="F327" s="22">
        <f>IF(0&gt;0,E327 / K327,0)</f>
        <v>0</v>
      </c>
      <c r="G327" s="9">
        <v>0</v>
      </c>
      <c r="H327" s="22">
        <f>IF(0&gt;0,G327 / K327,0)</f>
        <v>0</v>
      </c>
      <c r="I327" s="9">
        <v>0</v>
      </c>
      <c r="J327" s="22">
        <f>IF(0&gt;0,I327 / K327,0)</f>
        <v>0</v>
      </c>
      <c r="K327" s="9">
        <f t="shared" si="13"/>
        <v>0</v>
      </c>
      <c r="L327" s="36"/>
    </row>
    <row r="328" spans="2:12" x14ac:dyDescent="0.3">
      <c r="B328" s="9" t="s">
        <v>45</v>
      </c>
      <c r="C328" s="9">
        <v>0</v>
      </c>
      <c r="D328" s="22">
        <f>IF(375&gt;0,C328 / K328,0)</f>
        <v>0</v>
      </c>
      <c r="E328" s="9">
        <v>304</v>
      </c>
      <c r="F328" s="22">
        <f>IF(375&gt;0,E328 / K328,0)</f>
        <v>0.81066666666666665</v>
      </c>
      <c r="G328" s="9">
        <v>71</v>
      </c>
      <c r="H328" s="22">
        <f>IF(375&gt;0,G328 / K328,0)</f>
        <v>0.18933333333333333</v>
      </c>
      <c r="I328" s="9">
        <v>0</v>
      </c>
      <c r="J328" s="22">
        <f>IF(375&gt;0,I328 / K328,0)</f>
        <v>0</v>
      </c>
      <c r="K328" s="9">
        <f t="shared" si="13"/>
        <v>375</v>
      </c>
      <c r="L328" s="36"/>
    </row>
    <row r="329" spans="2:12" x14ac:dyDescent="0.3">
      <c r="B329" s="9" t="s">
        <v>207</v>
      </c>
      <c r="C329" s="9">
        <v>0</v>
      </c>
      <c r="D329" s="22">
        <f>IF(2985&gt;0,C329 / K329,0)</f>
        <v>0</v>
      </c>
      <c r="E329" s="9">
        <v>2933</v>
      </c>
      <c r="F329" s="22">
        <f>IF(2985&gt;0,E329 / K329,0)</f>
        <v>0.98257956448911221</v>
      </c>
      <c r="G329" s="9">
        <v>0</v>
      </c>
      <c r="H329" s="22">
        <f>IF(2985&gt;0,G329 / K329,0)</f>
        <v>0</v>
      </c>
      <c r="I329" s="9">
        <v>52</v>
      </c>
      <c r="J329" s="22">
        <f>IF(2985&gt;0,I329 / K329,0)</f>
        <v>1.7420435510887771E-2</v>
      </c>
      <c r="K329" s="9">
        <f t="shared" si="13"/>
        <v>2985</v>
      </c>
      <c r="L329" s="36"/>
    </row>
    <row r="330" spans="2:12" x14ac:dyDescent="0.3">
      <c r="B330" s="9" t="s">
        <v>46</v>
      </c>
      <c r="C330" s="9">
        <v>19314</v>
      </c>
      <c r="D330" s="22">
        <f>IF(61579&gt;0,C330 / K330,0)</f>
        <v>0.31364588577274721</v>
      </c>
      <c r="E330" s="9">
        <v>40571</v>
      </c>
      <c r="F330" s="22">
        <f>IF(61579&gt;0,E330 / K330,0)</f>
        <v>0.65884473603014015</v>
      </c>
      <c r="G330" s="9">
        <v>1566</v>
      </c>
      <c r="H330" s="22">
        <f>IF(61579&gt;0,G330 / K330,0)</f>
        <v>2.543074749508761E-2</v>
      </c>
      <c r="I330" s="9">
        <v>128</v>
      </c>
      <c r="J330" s="22">
        <f>IF(61579&gt;0,I330 / K330,0)</f>
        <v>2.0786307020250411E-3</v>
      </c>
      <c r="K330" s="9">
        <f t="shared" si="13"/>
        <v>61579</v>
      </c>
      <c r="L330" s="36"/>
    </row>
    <row r="331" spans="2:12" x14ac:dyDescent="0.3">
      <c r="B331" s="9" t="s">
        <v>47</v>
      </c>
      <c r="C331" s="9">
        <v>0</v>
      </c>
      <c r="D331" s="22">
        <f>IF(630&gt;0,C331 / K331,0)</f>
        <v>0</v>
      </c>
      <c r="E331" s="9">
        <v>524</v>
      </c>
      <c r="F331" s="22">
        <f>IF(630&gt;0,E331 / K331,0)</f>
        <v>0.83174603174603179</v>
      </c>
      <c r="G331" s="9">
        <v>106</v>
      </c>
      <c r="H331" s="22">
        <f>IF(630&gt;0,G331 / K331,0)</f>
        <v>0.16825396825396827</v>
      </c>
      <c r="I331" s="9">
        <v>0</v>
      </c>
      <c r="J331" s="22">
        <f>IF(630&gt;0,I331 / K331,0)</f>
        <v>0</v>
      </c>
      <c r="K331" s="9">
        <f t="shared" si="13"/>
        <v>630</v>
      </c>
      <c r="L331" s="36"/>
    </row>
    <row r="332" spans="2:12" x14ac:dyDescent="0.3">
      <c r="B332" s="9" t="s">
        <v>48</v>
      </c>
      <c r="C332" s="9">
        <v>0</v>
      </c>
      <c r="D332" s="22">
        <f>IF(1440&gt;0,C332 / K332,0)</f>
        <v>0</v>
      </c>
      <c r="E332" s="9">
        <v>1224</v>
      </c>
      <c r="F332" s="22">
        <f>IF(1440&gt;0,E332 / K332,0)</f>
        <v>0.85</v>
      </c>
      <c r="G332" s="9">
        <v>211</v>
      </c>
      <c r="H332" s="22">
        <f>IF(1440&gt;0,G332 / K332,0)</f>
        <v>0.14652777777777778</v>
      </c>
      <c r="I332" s="9">
        <v>5</v>
      </c>
      <c r="J332" s="22">
        <f>IF(1440&gt;0,I332 / K332,0)</f>
        <v>3.472222222222222E-3</v>
      </c>
      <c r="K332" s="9">
        <f t="shared" si="13"/>
        <v>1440</v>
      </c>
      <c r="L332" s="36"/>
    </row>
    <row r="333" spans="2:12" x14ac:dyDescent="0.3">
      <c r="B333" s="9" t="s">
        <v>49</v>
      </c>
      <c r="C333" s="9">
        <v>0</v>
      </c>
      <c r="D333" s="22">
        <f>IF(0&gt;0,C333 / K333,0)</f>
        <v>0</v>
      </c>
      <c r="E333" s="9">
        <v>0</v>
      </c>
      <c r="F333" s="22">
        <f>IF(0&gt;0,E333 / K333,0)</f>
        <v>0</v>
      </c>
      <c r="G333" s="9">
        <v>0</v>
      </c>
      <c r="H333" s="22">
        <f>IF(0&gt;0,G333 / K333,0)</f>
        <v>0</v>
      </c>
      <c r="I333" s="9">
        <v>0</v>
      </c>
      <c r="J333" s="22">
        <f>IF(0&gt;0,I333 / K333,0)</f>
        <v>0</v>
      </c>
      <c r="K333" s="9">
        <f t="shared" si="13"/>
        <v>0</v>
      </c>
      <c r="L333" s="36"/>
    </row>
    <row r="334" spans="2:12" x14ac:dyDescent="0.3">
      <c r="B334" s="9" t="s">
        <v>208</v>
      </c>
      <c r="C334" s="9">
        <v>0</v>
      </c>
      <c r="D334" s="22">
        <f>IF(4&gt;0,C334 / K334,0)</f>
        <v>0</v>
      </c>
      <c r="E334" s="9">
        <v>4</v>
      </c>
      <c r="F334" s="22">
        <f>IF(4&gt;0,E334 / K334,0)</f>
        <v>1</v>
      </c>
      <c r="G334" s="9">
        <v>0</v>
      </c>
      <c r="H334" s="22">
        <f>IF(4&gt;0,G334 / K334,0)</f>
        <v>0</v>
      </c>
      <c r="I334" s="9">
        <v>0</v>
      </c>
      <c r="J334" s="22">
        <f>IF(4&gt;0,I334 / K334,0)</f>
        <v>0</v>
      </c>
      <c r="K334" s="9">
        <f t="shared" si="13"/>
        <v>4</v>
      </c>
      <c r="L334" s="36"/>
    </row>
    <row r="335" spans="2:12" x14ac:dyDescent="0.3">
      <c r="B335" s="9" t="s">
        <v>50</v>
      </c>
      <c r="C335" s="9">
        <v>0</v>
      </c>
      <c r="D335" s="22">
        <f>IF(66&gt;0,C335 / K335,0)</f>
        <v>0</v>
      </c>
      <c r="E335" s="9">
        <v>0</v>
      </c>
      <c r="F335" s="22">
        <f>IF(66&gt;0,E335 / K335,0)</f>
        <v>0</v>
      </c>
      <c r="G335" s="9">
        <v>66</v>
      </c>
      <c r="H335" s="22">
        <f>IF(66&gt;0,G335 / K335,0)</f>
        <v>1</v>
      </c>
      <c r="I335" s="9">
        <v>0</v>
      </c>
      <c r="J335" s="22">
        <f>IF(66&gt;0,I335 / K335,0)</f>
        <v>0</v>
      </c>
      <c r="K335" s="9">
        <f t="shared" si="13"/>
        <v>66</v>
      </c>
      <c r="L335" s="36"/>
    </row>
    <row r="336" spans="2:12" x14ac:dyDescent="0.3">
      <c r="B336" s="9" t="s">
        <v>51</v>
      </c>
      <c r="C336" s="9">
        <v>122</v>
      </c>
      <c r="D336" s="22">
        <f>IF(1738&gt;0,C336 / K336,0)</f>
        <v>7.0195627157652471E-2</v>
      </c>
      <c r="E336" s="9">
        <v>1231</v>
      </c>
      <c r="F336" s="22">
        <f>IF(1738&gt;0,E336 / K336,0)</f>
        <v>0.7082853855005754</v>
      </c>
      <c r="G336" s="9">
        <v>385</v>
      </c>
      <c r="H336" s="22">
        <f>IF(1738&gt;0,G336 / K336,0)</f>
        <v>0.22151898734177214</v>
      </c>
      <c r="I336" s="9">
        <v>0</v>
      </c>
      <c r="J336" s="22">
        <f>IF(1738&gt;0,I336 / K336,0)</f>
        <v>0</v>
      </c>
      <c r="K336" s="9">
        <f t="shared" si="13"/>
        <v>1738</v>
      </c>
      <c r="L336" s="36"/>
    </row>
    <row r="337" spans="2:12" x14ac:dyDescent="0.3">
      <c r="B337" s="9" t="s">
        <v>52</v>
      </c>
      <c r="C337" s="9">
        <v>0</v>
      </c>
      <c r="D337" s="22">
        <f>IF(10&gt;0,C337 / K337,0)</f>
        <v>0</v>
      </c>
      <c r="E337" s="9">
        <v>8</v>
      </c>
      <c r="F337" s="22">
        <f>IF(10&gt;0,E337 / K337,0)</f>
        <v>0.8</v>
      </c>
      <c r="G337" s="9">
        <v>2</v>
      </c>
      <c r="H337" s="22">
        <f>IF(10&gt;0,G337 / K337,0)</f>
        <v>0.2</v>
      </c>
      <c r="I337" s="9">
        <v>0</v>
      </c>
      <c r="J337" s="22">
        <f>IF(10&gt;0,I337 / K337,0)</f>
        <v>0</v>
      </c>
      <c r="K337" s="9">
        <f t="shared" si="13"/>
        <v>10</v>
      </c>
      <c r="L337" s="36"/>
    </row>
    <row r="338" spans="2:12" x14ac:dyDescent="0.3">
      <c r="B338" s="9" t="s">
        <v>53</v>
      </c>
      <c r="C338" s="9">
        <v>0</v>
      </c>
      <c r="D338" s="22">
        <f>IF(858&gt;0,C338 / K338,0)</f>
        <v>0</v>
      </c>
      <c r="E338" s="9">
        <v>839</v>
      </c>
      <c r="F338" s="22">
        <f>IF(858&gt;0,E338 / K338,0)</f>
        <v>0.97785547785547788</v>
      </c>
      <c r="G338" s="9">
        <v>19</v>
      </c>
      <c r="H338" s="22">
        <f>IF(858&gt;0,G338 / K338,0)</f>
        <v>2.2144522144522144E-2</v>
      </c>
      <c r="I338" s="9">
        <v>0</v>
      </c>
      <c r="J338" s="22">
        <f>IF(858&gt;0,I338 / K338,0)</f>
        <v>0</v>
      </c>
      <c r="K338" s="9">
        <f t="shared" si="13"/>
        <v>858</v>
      </c>
      <c r="L338" s="36"/>
    </row>
    <row r="339" spans="2:12" x14ac:dyDescent="0.3">
      <c r="B339" s="9" t="s">
        <v>54</v>
      </c>
      <c r="C339" s="9">
        <v>0</v>
      </c>
      <c r="D339" s="22">
        <f>IF(274&gt;0,C339 / K339,0)</f>
        <v>0</v>
      </c>
      <c r="E339" s="9">
        <v>222</v>
      </c>
      <c r="F339" s="22">
        <f>IF(274&gt;0,E339 / K339,0)</f>
        <v>0.81021897810218979</v>
      </c>
      <c r="G339" s="9">
        <v>52</v>
      </c>
      <c r="H339" s="22">
        <f>IF(274&gt;0,G339 / K339,0)</f>
        <v>0.18978102189781021</v>
      </c>
      <c r="I339" s="9">
        <v>0</v>
      </c>
      <c r="J339" s="22">
        <f>IF(274&gt;0,I339 / K339,0)</f>
        <v>0</v>
      </c>
      <c r="K339" s="9">
        <f t="shared" si="13"/>
        <v>274</v>
      </c>
      <c r="L339" s="36"/>
    </row>
    <row r="340" spans="2:12" x14ac:dyDescent="0.3">
      <c r="B340" s="9" t="s">
        <v>55</v>
      </c>
      <c r="C340" s="9">
        <v>0</v>
      </c>
      <c r="D340" s="22">
        <f>IF(0&gt;0,C340 / K340,0)</f>
        <v>0</v>
      </c>
      <c r="E340" s="9">
        <v>0</v>
      </c>
      <c r="F340" s="22">
        <f>IF(0&gt;0,E340 / K340,0)</f>
        <v>0</v>
      </c>
      <c r="G340" s="9">
        <v>0</v>
      </c>
      <c r="H340" s="22">
        <f>IF(0&gt;0,G340 / K340,0)</f>
        <v>0</v>
      </c>
      <c r="I340" s="9">
        <v>0</v>
      </c>
      <c r="J340" s="22">
        <f>IF(0&gt;0,I340 / K340,0)</f>
        <v>0</v>
      </c>
      <c r="K340" s="9">
        <f t="shared" si="13"/>
        <v>0</v>
      </c>
      <c r="L340" s="36"/>
    </row>
    <row r="341" spans="2:12" x14ac:dyDescent="0.3">
      <c r="B341" s="9" t="s">
        <v>209</v>
      </c>
      <c r="C341" s="9">
        <v>0</v>
      </c>
      <c r="D341" s="22">
        <f>IF(57&gt;0,C341 / K341,0)</f>
        <v>0</v>
      </c>
      <c r="E341" s="9">
        <v>2</v>
      </c>
      <c r="F341" s="22">
        <f>IF(57&gt;0,E341 / K341,0)</f>
        <v>3.5087719298245612E-2</v>
      </c>
      <c r="G341" s="9">
        <v>55</v>
      </c>
      <c r="H341" s="22">
        <f>IF(57&gt;0,G341 / K341,0)</f>
        <v>0.96491228070175439</v>
      </c>
      <c r="I341" s="9">
        <v>0</v>
      </c>
      <c r="J341" s="22">
        <f>IF(57&gt;0,I341 / K341,0)</f>
        <v>0</v>
      </c>
      <c r="K341" s="9">
        <f t="shared" si="13"/>
        <v>57</v>
      </c>
      <c r="L341" s="36"/>
    </row>
    <row r="342" spans="2:12" x14ac:dyDescent="0.3">
      <c r="B342" s="9" t="s">
        <v>56</v>
      </c>
      <c r="C342" s="9">
        <v>0</v>
      </c>
      <c r="D342" s="22">
        <f>IF(1648&gt;0,C342 / K342,0)</f>
        <v>0</v>
      </c>
      <c r="E342" s="9">
        <v>138</v>
      </c>
      <c r="F342" s="22">
        <f>IF(1648&gt;0,E342 / K342,0)</f>
        <v>8.3737864077669907E-2</v>
      </c>
      <c r="G342" s="9">
        <v>1510</v>
      </c>
      <c r="H342" s="22">
        <f>IF(1648&gt;0,G342 / K342,0)</f>
        <v>0.91626213592233008</v>
      </c>
      <c r="I342" s="9">
        <v>0</v>
      </c>
      <c r="J342" s="22">
        <f>IF(1648&gt;0,I342 / K342,0)</f>
        <v>0</v>
      </c>
      <c r="K342" s="9">
        <f t="shared" si="13"/>
        <v>1648</v>
      </c>
      <c r="L342" s="36"/>
    </row>
    <row r="343" spans="2:12" x14ac:dyDescent="0.3">
      <c r="B343" s="9" t="s">
        <v>57</v>
      </c>
      <c r="C343" s="9">
        <v>0</v>
      </c>
      <c r="D343" s="22">
        <f t="shared" ref="D343:D349" si="14">IF(0&gt;0,C343 / K343,0)</f>
        <v>0</v>
      </c>
      <c r="E343" s="9">
        <v>0</v>
      </c>
      <c r="F343" s="22">
        <f t="shared" ref="F343:F349" si="15">IF(0&gt;0,E343 / K343,0)</f>
        <v>0</v>
      </c>
      <c r="G343" s="9">
        <v>0</v>
      </c>
      <c r="H343" s="22">
        <f t="shared" ref="H343:H349" si="16">IF(0&gt;0,G343 / K343,0)</f>
        <v>0</v>
      </c>
      <c r="I343" s="9">
        <v>0</v>
      </c>
      <c r="J343" s="22">
        <f t="shared" ref="J343:J349" si="17">IF(0&gt;0,I343 / K343,0)</f>
        <v>0</v>
      </c>
      <c r="K343" s="9">
        <f t="shared" si="13"/>
        <v>0</v>
      </c>
      <c r="L343" s="36"/>
    </row>
    <row r="344" spans="2:12" x14ac:dyDescent="0.3">
      <c r="B344" s="9" t="s">
        <v>210</v>
      </c>
      <c r="C344" s="9">
        <v>0</v>
      </c>
      <c r="D344" s="22">
        <f t="shared" si="14"/>
        <v>0</v>
      </c>
      <c r="E344" s="9">
        <v>0</v>
      </c>
      <c r="F344" s="22">
        <f t="shared" si="15"/>
        <v>0</v>
      </c>
      <c r="G344" s="9">
        <v>0</v>
      </c>
      <c r="H344" s="22">
        <f t="shared" si="16"/>
        <v>0</v>
      </c>
      <c r="I344" s="9">
        <v>0</v>
      </c>
      <c r="J344" s="22">
        <f t="shared" si="17"/>
        <v>0</v>
      </c>
      <c r="K344" s="9">
        <f t="shared" si="13"/>
        <v>0</v>
      </c>
      <c r="L344" s="36"/>
    </row>
    <row r="345" spans="2:12" x14ac:dyDescent="0.3">
      <c r="B345" s="9" t="s">
        <v>58</v>
      </c>
      <c r="C345" s="9">
        <v>0</v>
      </c>
      <c r="D345" s="22">
        <f t="shared" si="14"/>
        <v>0</v>
      </c>
      <c r="E345" s="9">
        <v>0</v>
      </c>
      <c r="F345" s="22">
        <f t="shared" si="15"/>
        <v>0</v>
      </c>
      <c r="G345" s="9">
        <v>0</v>
      </c>
      <c r="H345" s="22">
        <f t="shared" si="16"/>
        <v>0</v>
      </c>
      <c r="I345" s="9">
        <v>0</v>
      </c>
      <c r="J345" s="22">
        <f t="shared" si="17"/>
        <v>0</v>
      </c>
      <c r="K345" s="9">
        <f t="shared" si="13"/>
        <v>0</v>
      </c>
      <c r="L345" s="36"/>
    </row>
    <row r="346" spans="2:12" x14ac:dyDescent="0.3">
      <c r="B346" s="9" t="s">
        <v>211</v>
      </c>
      <c r="C346" s="9">
        <v>0</v>
      </c>
      <c r="D346" s="22">
        <f t="shared" si="14"/>
        <v>0</v>
      </c>
      <c r="E346" s="9">
        <v>0</v>
      </c>
      <c r="F346" s="22">
        <f t="shared" si="15"/>
        <v>0</v>
      </c>
      <c r="G346" s="9">
        <v>0</v>
      </c>
      <c r="H346" s="22">
        <f t="shared" si="16"/>
        <v>0</v>
      </c>
      <c r="I346" s="9">
        <v>0</v>
      </c>
      <c r="J346" s="22">
        <f t="shared" si="17"/>
        <v>0</v>
      </c>
      <c r="K346" s="9">
        <f t="shared" si="13"/>
        <v>0</v>
      </c>
      <c r="L346" s="36"/>
    </row>
    <row r="347" spans="2:12" x14ac:dyDescent="0.3">
      <c r="B347" s="9" t="s">
        <v>212</v>
      </c>
      <c r="C347" s="9">
        <v>0</v>
      </c>
      <c r="D347" s="22">
        <f t="shared" si="14"/>
        <v>0</v>
      </c>
      <c r="E347" s="9">
        <v>0</v>
      </c>
      <c r="F347" s="22">
        <f t="shared" si="15"/>
        <v>0</v>
      </c>
      <c r="G347" s="9">
        <v>0</v>
      </c>
      <c r="H347" s="22">
        <f t="shared" si="16"/>
        <v>0</v>
      </c>
      <c r="I347" s="9">
        <v>0</v>
      </c>
      <c r="J347" s="22">
        <f t="shared" si="17"/>
        <v>0</v>
      </c>
      <c r="K347" s="9">
        <f t="shared" si="13"/>
        <v>0</v>
      </c>
      <c r="L347" s="36"/>
    </row>
    <row r="348" spans="2:12" x14ac:dyDescent="0.3">
      <c r="B348" s="9" t="s">
        <v>213</v>
      </c>
      <c r="C348" s="9">
        <v>0</v>
      </c>
      <c r="D348" s="22">
        <f t="shared" si="14"/>
        <v>0</v>
      </c>
      <c r="E348" s="9">
        <v>0</v>
      </c>
      <c r="F348" s="22">
        <f t="shared" si="15"/>
        <v>0</v>
      </c>
      <c r="G348" s="9">
        <v>0</v>
      </c>
      <c r="H348" s="22">
        <f t="shared" si="16"/>
        <v>0</v>
      </c>
      <c r="I348" s="9">
        <v>0</v>
      </c>
      <c r="J348" s="22">
        <f t="shared" si="17"/>
        <v>0</v>
      </c>
      <c r="K348" s="9">
        <f t="shared" si="13"/>
        <v>0</v>
      </c>
      <c r="L348" s="36"/>
    </row>
    <row r="349" spans="2:12" x14ac:dyDescent="0.3">
      <c r="B349" s="9" t="s">
        <v>59</v>
      </c>
      <c r="C349" s="9">
        <v>0</v>
      </c>
      <c r="D349" s="22">
        <f t="shared" si="14"/>
        <v>0</v>
      </c>
      <c r="E349" s="9">
        <v>0</v>
      </c>
      <c r="F349" s="22">
        <f t="shared" si="15"/>
        <v>0</v>
      </c>
      <c r="G349" s="9">
        <v>0</v>
      </c>
      <c r="H349" s="22">
        <f t="shared" si="16"/>
        <v>0</v>
      </c>
      <c r="I349" s="9">
        <v>0</v>
      </c>
      <c r="J349" s="22">
        <f t="shared" si="17"/>
        <v>0</v>
      </c>
      <c r="K349" s="9">
        <f t="shared" si="13"/>
        <v>0</v>
      </c>
      <c r="L349" s="36"/>
    </row>
    <row r="350" spans="2:12" x14ac:dyDescent="0.3">
      <c r="B350" s="9" t="s">
        <v>214</v>
      </c>
      <c r="C350" s="9">
        <v>0</v>
      </c>
      <c r="D350" s="22">
        <f>IF(3&gt;0,C350 / K350,0)</f>
        <v>0</v>
      </c>
      <c r="E350" s="9">
        <v>3</v>
      </c>
      <c r="F350" s="22">
        <f>IF(3&gt;0,E350 / K350,0)</f>
        <v>1</v>
      </c>
      <c r="G350" s="9">
        <v>0</v>
      </c>
      <c r="H350" s="22">
        <f>IF(3&gt;0,G350 / K350,0)</f>
        <v>0</v>
      </c>
      <c r="I350" s="9">
        <v>0</v>
      </c>
      <c r="J350" s="22">
        <f>IF(3&gt;0,I350 / K350,0)</f>
        <v>0</v>
      </c>
      <c r="K350" s="9">
        <f t="shared" si="13"/>
        <v>3</v>
      </c>
      <c r="L350" s="36"/>
    </row>
    <row r="351" spans="2:12" x14ac:dyDescent="0.3">
      <c r="B351" s="9" t="s">
        <v>60</v>
      </c>
      <c r="C351" s="9">
        <v>0</v>
      </c>
      <c r="D351" s="22">
        <f>IF(5240&gt;0,C351 / K351,0)</f>
        <v>0</v>
      </c>
      <c r="E351" s="9">
        <v>380</v>
      </c>
      <c r="F351" s="22">
        <f>IF(5240&gt;0,E351 / K351,0)</f>
        <v>7.2519083969465645E-2</v>
      </c>
      <c r="G351" s="9">
        <v>4860</v>
      </c>
      <c r="H351" s="22">
        <f>IF(5240&gt;0,G351 / K351,0)</f>
        <v>0.9274809160305344</v>
      </c>
      <c r="I351" s="9">
        <v>0</v>
      </c>
      <c r="J351" s="22">
        <f>IF(5240&gt;0,I351 / K351,0)</f>
        <v>0</v>
      </c>
      <c r="K351" s="9">
        <f t="shared" si="13"/>
        <v>5240</v>
      </c>
      <c r="L351" s="36"/>
    </row>
    <row r="352" spans="2:12" x14ac:dyDescent="0.3">
      <c r="B352" s="9" t="s">
        <v>61</v>
      </c>
      <c r="C352" s="9">
        <v>0</v>
      </c>
      <c r="D352" s="22">
        <f>IF(3&gt;0,C352 / K352,0)</f>
        <v>0</v>
      </c>
      <c r="E352" s="9">
        <v>3</v>
      </c>
      <c r="F352" s="22">
        <f>IF(3&gt;0,E352 / K352,0)</f>
        <v>1</v>
      </c>
      <c r="G352" s="9">
        <v>0</v>
      </c>
      <c r="H352" s="22">
        <f>IF(3&gt;0,G352 / K352,0)</f>
        <v>0</v>
      </c>
      <c r="I352" s="9">
        <v>0</v>
      </c>
      <c r="J352" s="22">
        <f>IF(3&gt;0,I352 / K352,0)</f>
        <v>0</v>
      </c>
      <c r="K352" s="9">
        <f t="shared" si="13"/>
        <v>3</v>
      </c>
      <c r="L352" s="36"/>
    </row>
    <row r="353" spans="2:12" x14ac:dyDescent="0.3">
      <c r="B353" s="9" t="s">
        <v>78</v>
      </c>
      <c r="C353" s="9">
        <v>0</v>
      </c>
      <c r="D353" s="22">
        <f>IF(120&gt;0,C353 / K353,0)</f>
        <v>0</v>
      </c>
      <c r="E353" s="9">
        <v>120</v>
      </c>
      <c r="F353" s="22">
        <f>IF(120&gt;0,E353 / K353,0)</f>
        <v>1</v>
      </c>
      <c r="G353" s="9">
        <v>0</v>
      </c>
      <c r="H353" s="22">
        <f>IF(120&gt;0,G353 / K353,0)</f>
        <v>0</v>
      </c>
      <c r="I353" s="9">
        <v>0</v>
      </c>
      <c r="J353" s="22">
        <f>IF(120&gt;0,I353 / K353,0)</f>
        <v>0</v>
      </c>
      <c r="K353" s="9">
        <f t="shared" si="13"/>
        <v>120</v>
      </c>
      <c r="L353" s="36"/>
    </row>
    <row r="354" spans="2:12" x14ac:dyDescent="0.3">
      <c r="B354" s="9" t="s">
        <v>62</v>
      </c>
      <c r="C354" s="9">
        <v>0</v>
      </c>
      <c r="D354" s="22">
        <f>IF(0&gt;0,C354 / K354,0)</f>
        <v>0</v>
      </c>
      <c r="E354" s="9">
        <v>0</v>
      </c>
      <c r="F354" s="22">
        <f>IF(0&gt;0,E354 / K354,0)</f>
        <v>0</v>
      </c>
      <c r="G354" s="9">
        <v>0</v>
      </c>
      <c r="H354" s="22">
        <f>IF(0&gt;0,G354 / K354,0)</f>
        <v>0</v>
      </c>
      <c r="I354" s="9">
        <v>0</v>
      </c>
      <c r="J354" s="22">
        <f>IF(0&gt;0,I354 / K354,0)</f>
        <v>0</v>
      </c>
      <c r="K354" s="9">
        <f t="shared" si="13"/>
        <v>0</v>
      </c>
      <c r="L354" s="36"/>
    </row>
    <row r="355" spans="2:12" x14ac:dyDescent="0.3">
      <c r="B355" s="9" t="s">
        <v>314</v>
      </c>
      <c r="C355" s="9">
        <v>0</v>
      </c>
      <c r="D355" s="22">
        <f>IF(0&gt;0,C355 / K355,0)</f>
        <v>0</v>
      </c>
      <c r="E355" s="9">
        <v>0</v>
      </c>
      <c r="F355" s="22">
        <f>IF(0&gt;0,E355 / K355,0)</f>
        <v>0</v>
      </c>
      <c r="G355" s="9">
        <v>0</v>
      </c>
      <c r="H355" s="22">
        <f>IF(0&gt;0,G355 / K355,0)</f>
        <v>0</v>
      </c>
      <c r="I355" s="9">
        <v>0</v>
      </c>
      <c r="J355" s="22">
        <f>IF(0&gt;0,I355 / K355,0)</f>
        <v>0</v>
      </c>
      <c r="K355" s="9">
        <f t="shared" si="13"/>
        <v>0</v>
      </c>
      <c r="L355" s="36"/>
    </row>
    <row r="356" spans="2:12" x14ac:dyDescent="0.3">
      <c r="B356" s="9" t="s">
        <v>79</v>
      </c>
      <c r="C356" s="9">
        <v>0</v>
      </c>
      <c r="D356" s="22">
        <f>IF(5440&gt;0,C356 / K356,0)</f>
        <v>0</v>
      </c>
      <c r="E356" s="9">
        <v>3747</v>
      </c>
      <c r="F356" s="22">
        <f>IF(5440&gt;0,E356 / K356,0)</f>
        <v>0.6887867647058824</v>
      </c>
      <c r="G356" s="9">
        <v>207</v>
      </c>
      <c r="H356" s="22">
        <f>IF(5440&gt;0,G356 / K356,0)</f>
        <v>3.8051470588235291E-2</v>
      </c>
      <c r="I356" s="9">
        <v>1486</v>
      </c>
      <c r="J356" s="22">
        <f>IF(5440&gt;0,I356 / K356,0)</f>
        <v>0.27316176470588233</v>
      </c>
      <c r="K356" s="9">
        <f t="shared" si="13"/>
        <v>5440</v>
      </c>
      <c r="L356" s="36"/>
    </row>
    <row r="357" spans="2:12" x14ac:dyDescent="0.3">
      <c r="B357" s="9" t="s">
        <v>215</v>
      </c>
      <c r="C357" s="9">
        <v>0</v>
      </c>
      <c r="D357" s="22">
        <f>IF(0&gt;0,C357 / K357,0)</f>
        <v>0</v>
      </c>
      <c r="E357" s="9">
        <v>0</v>
      </c>
      <c r="F357" s="22">
        <f>IF(0&gt;0,E357 / K357,0)</f>
        <v>0</v>
      </c>
      <c r="G357" s="9">
        <v>0</v>
      </c>
      <c r="H357" s="22">
        <f>IF(0&gt;0,G357 / K357,0)</f>
        <v>0</v>
      </c>
      <c r="I357" s="9">
        <v>0</v>
      </c>
      <c r="J357" s="22">
        <f>IF(0&gt;0,I357 / K357,0)</f>
        <v>0</v>
      </c>
      <c r="K357" s="9">
        <f t="shared" si="13"/>
        <v>0</v>
      </c>
      <c r="L357" s="36"/>
    </row>
    <row r="358" spans="2:12" x14ac:dyDescent="0.3">
      <c r="B358" s="9" t="s">
        <v>63</v>
      </c>
      <c r="C358" s="9">
        <v>0</v>
      </c>
      <c r="D358" s="22">
        <f>IF(16173&gt;0,C358 / K358,0)</f>
        <v>0</v>
      </c>
      <c r="E358" s="9">
        <v>11062</v>
      </c>
      <c r="F358" s="22">
        <f>IF(16173&gt;0,E358 / K358,0)</f>
        <v>0.68397947195943853</v>
      </c>
      <c r="G358" s="9">
        <v>2816</v>
      </c>
      <c r="H358" s="22">
        <f>IF(16173&gt;0,G358 / K358,0)</f>
        <v>0.174117356087306</v>
      </c>
      <c r="I358" s="9">
        <v>2295</v>
      </c>
      <c r="J358" s="22">
        <f>IF(16173&gt;0,I358 / K358,0)</f>
        <v>0.14190317195325541</v>
      </c>
      <c r="K358" s="9">
        <f t="shared" si="13"/>
        <v>16173</v>
      </c>
      <c r="L358" s="36"/>
    </row>
    <row r="359" spans="2:12" x14ac:dyDescent="0.3">
      <c r="B359" s="9" t="s">
        <v>216</v>
      </c>
      <c r="C359" s="9">
        <v>0</v>
      </c>
      <c r="D359" s="22">
        <f>IF(0&gt;0,C359 / K359,0)</f>
        <v>0</v>
      </c>
      <c r="E359" s="9">
        <v>0</v>
      </c>
      <c r="F359" s="22">
        <f>IF(0&gt;0,E359 / K359,0)</f>
        <v>0</v>
      </c>
      <c r="G359" s="9">
        <v>0</v>
      </c>
      <c r="H359" s="22">
        <f>IF(0&gt;0,G359 / K359,0)</f>
        <v>0</v>
      </c>
      <c r="I359" s="9">
        <v>0</v>
      </c>
      <c r="J359" s="22">
        <f>IF(0&gt;0,I359 / K359,0)</f>
        <v>0</v>
      </c>
      <c r="K359" s="9">
        <f t="shared" si="13"/>
        <v>0</v>
      </c>
      <c r="L359" s="36"/>
    </row>
    <row r="360" spans="2:12" x14ac:dyDescent="0.3">
      <c r="B360" s="9" t="s">
        <v>64</v>
      </c>
      <c r="C360" s="9">
        <v>0</v>
      </c>
      <c r="D360" s="22">
        <f>IF(4096&gt;0,C360 / K360,0)</f>
        <v>0</v>
      </c>
      <c r="E360" s="9">
        <v>2670</v>
      </c>
      <c r="F360" s="22">
        <f>IF(4096&gt;0,E360 / K360,0)</f>
        <v>0.65185546875</v>
      </c>
      <c r="G360" s="9">
        <v>533</v>
      </c>
      <c r="H360" s="22">
        <f>IF(4096&gt;0,G360 / K360,0)</f>
        <v>0.130126953125</v>
      </c>
      <c r="I360" s="9">
        <v>893</v>
      </c>
      <c r="J360" s="22">
        <f>IF(4096&gt;0,I360 / K360,0)</f>
        <v>0.218017578125</v>
      </c>
      <c r="K360" s="9">
        <f t="shared" si="13"/>
        <v>4096</v>
      </c>
      <c r="L360" s="36"/>
    </row>
    <row r="361" spans="2:12" x14ac:dyDescent="0.3">
      <c r="B361" s="9" t="s">
        <v>65</v>
      </c>
      <c r="C361" s="9">
        <v>0</v>
      </c>
      <c r="D361" s="22">
        <f>IF(0&gt;0,C361 / K361,0)</f>
        <v>0</v>
      </c>
      <c r="E361" s="9">
        <v>0</v>
      </c>
      <c r="F361" s="22">
        <f>IF(0&gt;0,E361 / K361,0)</f>
        <v>0</v>
      </c>
      <c r="G361" s="9">
        <v>0</v>
      </c>
      <c r="H361" s="22">
        <f>IF(0&gt;0,G361 / K361,0)</f>
        <v>0</v>
      </c>
      <c r="I361" s="9">
        <v>0</v>
      </c>
      <c r="J361" s="22">
        <f>IF(0&gt;0,I361 / K361,0)</f>
        <v>0</v>
      </c>
      <c r="K361" s="9">
        <f t="shared" si="13"/>
        <v>0</v>
      </c>
      <c r="L361" s="36"/>
    </row>
    <row r="362" spans="2:12" x14ac:dyDescent="0.3">
      <c r="B362" s="9" t="s">
        <v>217</v>
      </c>
      <c r="C362" s="9">
        <v>0</v>
      </c>
      <c r="D362" s="22">
        <f>IF(5435&gt;0,C362 / K362,0)</f>
        <v>0</v>
      </c>
      <c r="E362" s="9">
        <v>3217</v>
      </c>
      <c r="F362" s="22">
        <f>IF(5435&gt;0,E362 / K362,0)</f>
        <v>0.59190432382704694</v>
      </c>
      <c r="G362" s="9">
        <v>1593</v>
      </c>
      <c r="H362" s="22">
        <f>IF(5435&gt;0,G362 / K362,0)</f>
        <v>0.29310027598896043</v>
      </c>
      <c r="I362" s="9">
        <v>625</v>
      </c>
      <c r="J362" s="22">
        <f>IF(5435&gt;0,I362 / K362,0)</f>
        <v>0.11499540018399264</v>
      </c>
      <c r="K362" s="9">
        <f t="shared" si="13"/>
        <v>5435</v>
      </c>
      <c r="L362" s="36"/>
    </row>
    <row r="363" spans="2:12" ht="15" thickBot="1" x14ac:dyDescent="0.35">
      <c r="B363" s="28" t="s">
        <v>66</v>
      </c>
      <c r="C363" s="28">
        <v>0</v>
      </c>
      <c r="D363" s="39">
        <f>IF(0&gt;0,C363 / K363,0)</f>
        <v>0</v>
      </c>
      <c r="E363" s="28">
        <v>0</v>
      </c>
      <c r="F363" s="39">
        <f>IF(0&gt;0,E363 / K363,0)</f>
        <v>0</v>
      </c>
      <c r="G363" s="28">
        <v>0</v>
      </c>
      <c r="H363" s="39">
        <f>IF(0&gt;0,G363 / K363,0)</f>
        <v>0</v>
      </c>
      <c r="I363" s="28">
        <v>0</v>
      </c>
      <c r="J363" s="39">
        <f>IF(0&gt;0,I363 / K363,0)</f>
        <v>0</v>
      </c>
      <c r="K363" s="28">
        <f t="shared" si="13"/>
        <v>0</v>
      </c>
      <c r="L363" s="36"/>
    </row>
    <row r="364" spans="2:12" x14ac:dyDescent="0.3">
      <c r="B364" s="27" t="s">
        <v>269</v>
      </c>
      <c r="C364" s="27">
        <f>SUM(C323:C363)</f>
        <v>21858</v>
      </c>
      <c r="D364" s="27"/>
      <c r="E364" s="27">
        <f>SUM(E323:E363)</f>
        <v>209419</v>
      </c>
      <c r="F364" s="27"/>
      <c r="G364" s="27">
        <f>SUM(G323:G363)</f>
        <v>46897</v>
      </c>
      <c r="H364" s="27"/>
      <c r="I364" s="27">
        <f>SUM(I323:I363)</f>
        <v>35383</v>
      </c>
      <c r="J364" s="27"/>
      <c r="K364" s="27">
        <f>SUM(K323:K363)</f>
        <v>313557</v>
      </c>
    </row>
    <row r="365" spans="2:12" x14ac:dyDescent="0.3">
      <c r="B365" s="38" t="s">
        <v>226</v>
      </c>
      <c r="C365" s="23">
        <f>C364 / K364</f>
        <v>6.9709813526727199E-2</v>
      </c>
      <c r="D365" s="8"/>
      <c r="E365" s="23">
        <f>E364 / K364</f>
        <v>0.66788175674598238</v>
      </c>
      <c r="F365" s="8"/>
      <c r="G365" s="23">
        <f>G364 / K364</f>
        <v>0.14956451299125836</v>
      </c>
      <c r="H365" s="8"/>
      <c r="I365" s="23">
        <f>I364 / K364</f>
        <v>0.11284391673603204</v>
      </c>
      <c r="J365" s="8"/>
      <c r="K365" s="23">
        <f>K364 / K364</f>
        <v>1</v>
      </c>
    </row>
    <row r="368" spans="2:12" x14ac:dyDescent="0.3">
      <c r="B368" s="11" t="s">
        <v>281</v>
      </c>
      <c r="C368" s="12"/>
      <c r="D368" s="12"/>
      <c r="E368" s="12"/>
      <c r="F368" s="12"/>
      <c r="G368" s="12"/>
      <c r="H368" s="12"/>
      <c r="I368" s="12"/>
      <c r="J368" s="12"/>
      <c r="K368" s="12"/>
      <c r="L368"/>
    </row>
    <row r="369" spans="2:13" x14ac:dyDescent="0.3">
      <c r="B369" s="12"/>
      <c r="C369" s="12"/>
      <c r="D369" s="12"/>
      <c r="E369" s="61" t="s">
        <v>265</v>
      </c>
      <c r="F369" s="61"/>
      <c r="G369" s="61"/>
      <c r="H369" s="61"/>
      <c r="I369" s="61"/>
      <c r="J369" s="61"/>
      <c r="K369" s="12"/>
    </row>
    <row r="370" spans="2:13" ht="57.6" x14ac:dyDescent="0.3">
      <c r="B370" s="20" t="s">
        <v>278</v>
      </c>
      <c r="C370" s="20" t="s">
        <v>75</v>
      </c>
      <c r="D370" s="20"/>
      <c r="E370" s="20" t="s">
        <v>4</v>
      </c>
      <c r="F370" s="20"/>
      <c r="G370" s="20" t="s">
        <v>5</v>
      </c>
      <c r="H370" s="20"/>
      <c r="I370" s="20" t="s">
        <v>6</v>
      </c>
      <c r="J370" s="20"/>
      <c r="K370" s="21" t="s">
        <v>224</v>
      </c>
      <c r="L370" s="37"/>
      <c r="M370" s="6"/>
    </row>
    <row r="371" spans="2:13" x14ac:dyDescent="0.3">
      <c r="B371" s="9" t="s">
        <v>115</v>
      </c>
      <c r="C371" s="9">
        <v>362</v>
      </c>
      <c r="D371" s="22">
        <f>IF(21408&gt;0,C371 / K371,0)</f>
        <v>1.6909566517189837E-2</v>
      </c>
      <c r="E371" s="9">
        <v>17571</v>
      </c>
      <c r="F371" s="22">
        <f>IF(21408&gt;0,E371 / K371,0)</f>
        <v>0.82076793721973096</v>
      </c>
      <c r="G371" s="9">
        <v>3475</v>
      </c>
      <c r="H371" s="22">
        <f>IF(21408&gt;0,G371 / K371,0)</f>
        <v>0.16232249626307924</v>
      </c>
      <c r="I371" s="9">
        <v>0</v>
      </c>
      <c r="J371" s="22">
        <f>IF(21408&gt;0,I371 / K371,0)</f>
        <v>0</v>
      </c>
      <c r="K371" s="9">
        <f t="shared" ref="K371:K374" si="18">C371+E371+G371+I371</f>
        <v>21408</v>
      </c>
      <c r="L371" s="36"/>
    </row>
    <row r="372" spans="2:13" x14ac:dyDescent="0.3">
      <c r="B372" s="9" t="s">
        <v>116</v>
      </c>
      <c r="C372" s="9">
        <v>0</v>
      </c>
      <c r="D372" s="22">
        <f>IF(1371&gt;0,C372 / K372,0)</f>
        <v>0</v>
      </c>
      <c r="E372" s="9">
        <v>1315</v>
      </c>
      <c r="F372" s="22">
        <f>IF(1371&gt;0,E372 / K372,0)</f>
        <v>0.95915390226112329</v>
      </c>
      <c r="G372" s="9">
        <v>56</v>
      </c>
      <c r="H372" s="22">
        <f>IF(1371&gt;0,G372 / K372,0)</f>
        <v>4.0846097738876735E-2</v>
      </c>
      <c r="I372" s="9">
        <v>0</v>
      </c>
      <c r="J372" s="22">
        <f>IF(1371&gt;0,I372 / K372,0)</f>
        <v>0</v>
      </c>
      <c r="K372" s="9">
        <f t="shared" si="18"/>
        <v>1371</v>
      </c>
      <c r="L372" s="36"/>
    </row>
    <row r="373" spans="2:13" x14ac:dyDescent="0.3">
      <c r="B373" s="9" t="s">
        <v>117</v>
      </c>
      <c r="C373" s="9">
        <v>0</v>
      </c>
      <c r="D373" s="22">
        <f>IF(61228&gt;0,C373 / K373,0)</f>
        <v>0</v>
      </c>
      <c r="E373" s="9">
        <v>32443</v>
      </c>
      <c r="F373" s="22">
        <f>IF(61228&gt;0,E373 / K373,0)</f>
        <v>0.52987195400797016</v>
      </c>
      <c r="G373" s="9">
        <v>357</v>
      </c>
      <c r="H373" s="22">
        <f>IF(61228&gt;0,G373 / K373,0)</f>
        <v>5.8306657084993795E-3</v>
      </c>
      <c r="I373" s="9">
        <v>28428</v>
      </c>
      <c r="J373" s="22">
        <f>IF(61228&gt;0,I373 / K373,0)</f>
        <v>0.4642973802835304</v>
      </c>
      <c r="K373" s="9">
        <f t="shared" si="18"/>
        <v>61228</v>
      </c>
      <c r="L373" s="36"/>
    </row>
    <row r="374" spans="2:13" ht="15" thickBot="1" x14ac:dyDescent="0.35">
      <c r="B374" s="28" t="s">
        <v>118</v>
      </c>
      <c r="C374" s="28">
        <v>0</v>
      </c>
      <c r="D374" s="39">
        <f>IF(0&gt;0,C374 / K374,0)</f>
        <v>0</v>
      </c>
      <c r="E374" s="28">
        <v>0</v>
      </c>
      <c r="F374" s="39">
        <f>IF(0&gt;0,E374 / K374,0)</f>
        <v>0</v>
      </c>
      <c r="G374" s="28">
        <v>0</v>
      </c>
      <c r="H374" s="39">
        <f>IF(0&gt;0,G374 / K374,0)</f>
        <v>0</v>
      </c>
      <c r="I374" s="28">
        <v>0</v>
      </c>
      <c r="J374" s="39">
        <f>IF(0&gt;0,I374 / K374,0)</f>
        <v>0</v>
      </c>
      <c r="K374" s="28">
        <f t="shared" si="18"/>
        <v>0</v>
      </c>
      <c r="L374" s="36"/>
    </row>
    <row r="375" spans="2:13" x14ac:dyDescent="0.3">
      <c r="B375" s="27" t="s">
        <v>269</v>
      </c>
      <c r="C375" s="27">
        <f>SUM(C371:C374)</f>
        <v>362</v>
      </c>
      <c r="D375" s="27"/>
      <c r="E375" s="27">
        <f>SUM(E371:E374)</f>
        <v>51329</v>
      </c>
      <c r="F375" s="27"/>
      <c r="G375" s="27">
        <f>SUM(G371:G374)</f>
        <v>3888</v>
      </c>
      <c r="H375" s="27"/>
      <c r="I375" s="27">
        <f>SUM(I371:I374)</f>
        <v>28428</v>
      </c>
      <c r="J375" s="27"/>
      <c r="K375" s="27">
        <f>SUM(K371:K374)</f>
        <v>84007</v>
      </c>
    </row>
    <row r="376" spans="2:13" x14ac:dyDescent="0.3">
      <c r="B376" s="38" t="s">
        <v>226</v>
      </c>
      <c r="C376" s="23">
        <f>C375 / K375</f>
        <v>4.3091647124644371E-3</v>
      </c>
      <c r="D376" s="8"/>
      <c r="E376" s="23">
        <f>E375 / K375</f>
        <v>0.61100860642565502</v>
      </c>
      <c r="F376" s="8"/>
      <c r="G376" s="23">
        <f>G375 / K375</f>
        <v>4.6281857464258933E-2</v>
      </c>
      <c r="H376" s="8"/>
      <c r="I376" s="23">
        <f>I375 / K375</f>
        <v>0.33840037139762164</v>
      </c>
      <c r="J376" s="8"/>
      <c r="K376" s="23">
        <f>K375 / K375</f>
        <v>1</v>
      </c>
    </row>
    <row r="379" spans="2:13" x14ac:dyDescent="0.3">
      <c r="B379" s="11" t="s">
        <v>280</v>
      </c>
      <c r="C379" s="12"/>
      <c r="D379" s="12"/>
      <c r="E379" s="12"/>
      <c r="F379" s="12"/>
      <c r="G379" s="12"/>
      <c r="H379" s="12"/>
      <c r="I379" s="12"/>
      <c r="J379" s="12"/>
      <c r="K379" s="12"/>
    </row>
    <row r="380" spans="2:13" x14ac:dyDescent="0.3">
      <c r="B380" s="12"/>
      <c r="C380" s="12"/>
      <c r="D380" s="12"/>
      <c r="E380" s="61" t="s">
        <v>265</v>
      </c>
      <c r="F380" s="61"/>
      <c r="G380" s="61"/>
      <c r="H380" s="61"/>
      <c r="I380" s="61"/>
      <c r="J380" s="61"/>
      <c r="K380" s="12"/>
    </row>
    <row r="381" spans="2:13" ht="57.6" x14ac:dyDescent="0.3">
      <c r="B381" s="20" t="s">
        <v>279</v>
      </c>
      <c r="C381" s="20" t="s">
        <v>75</v>
      </c>
      <c r="D381" s="20"/>
      <c r="E381" s="20" t="s">
        <v>4</v>
      </c>
      <c r="F381" s="20"/>
      <c r="G381" s="20" t="s">
        <v>5</v>
      </c>
      <c r="H381" s="20"/>
      <c r="I381" s="20" t="s">
        <v>6</v>
      </c>
      <c r="J381" s="20"/>
      <c r="K381" s="21" t="s">
        <v>224</v>
      </c>
      <c r="L381" s="37"/>
      <c r="M381" s="6"/>
    </row>
    <row r="382" spans="2:13" x14ac:dyDescent="0.3">
      <c r="B382" s="9" t="s">
        <v>119</v>
      </c>
      <c r="C382" s="9">
        <v>20103</v>
      </c>
      <c r="D382" s="22">
        <f>IF(21735&gt;0,C382 / K382,0)</f>
        <v>0.92491373360938578</v>
      </c>
      <c r="E382" s="9">
        <v>1504</v>
      </c>
      <c r="F382" s="22">
        <f>IF(21735&gt;0,E382 / K382,0)</f>
        <v>6.9197147458017028E-2</v>
      </c>
      <c r="G382" s="9">
        <v>128</v>
      </c>
      <c r="H382" s="22">
        <f>IF(21735&gt;0,G382 / K382,0)</f>
        <v>5.8891189325971935E-3</v>
      </c>
      <c r="I382" s="9">
        <v>0</v>
      </c>
      <c r="J382" s="22">
        <f>IF(21735&gt;0,I382 / K382,0)</f>
        <v>0</v>
      </c>
      <c r="K382" s="9">
        <f t="shared" ref="K382:K385" si="19">C382+E382+G382+I382</f>
        <v>21735</v>
      </c>
      <c r="L382" s="36"/>
    </row>
    <row r="383" spans="2:13" x14ac:dyDescent="0.3">
      <c r="B383" s="9" t="s">
        <v>144</v>
      </c>
      <c r="C383" s="9">
        <v>33</v>
      </c>
      <c r="D383" s="22">
        <f>IF(113&gt;0,C383 / K383,0)</f>
        <v>0.29203539823008851</v>
      </c>
      <c r="E383" s="9">
        <v>53</v>
      </c>
      <c r="F383" s="22">
        <f>IF(113&gt;0,E383 / K383,0)</f>
        <v>0.46902654867256638</v>
      </c>
      <c r="G383" s="9">
        <v>24</v>
      </c>
      <c r="H383" s="22">
        <f>IF(113&gt;0,G383 / K383,0)</f>
        <v>0.21238938053097345</v>
      </c>
      <c r="I383" s="9">
        <v>3</v>
      </c>
      <c r="J383" s="22">
        <f>IF(113&gt;0,I383 / K383,0)</f>
        <v>2.6548672566371681E-2</v>
      </c>
      <c r="K383" s="9">
        <f t="shared" si="19"/>
        <v>113</v>
      </c>
      <c r="L383" s="36"/>
    </row>
    <row r="384" spans="2:13" x14ac:dyDescent="0.3">
      <c r="B384" s="9" t="s">
        <v>146</v>
      </c>
      <c r="C384" s="9">
        <v>0</v>
      </c>
      <c r="D384" s="22">
        <f>IF(39554&gt;0,C384 / K384,0)</f>
        <v>0</v>
      </c>
      <c r="E384" s="9">
        <v>38251</v>
      </c>
      <c r="F384" s="22">
        <f>IF(39554&gt;0,E384 / K384,0)</f>
        <v>0.96705769328007285</v>
      </c>
      <c r="G384" s="9">
        <v>1303</v>
      </c>
      <c r="H384" s="22">
        <f>IF(39554&gt;0,G384 / K384,0)</f>
        <v>3.2942306719927185E-2</v>
      </c>
      <c r="I384" s="9">
        <v>0</v>
      </c>
      <c r="J384" s="22">
        <f>IF(39554&gt;0,I384 / K384,0)</f>
        <v>0</v>
      </c>
      <c r="K384" s="9">
        <f t="shared" si="19"/>
        <v>39554</v>
      </c>
      <c r="L384" s="36"/>
    </row>
    <row r="385" spans="2:13" ht="15" thickBot="1" x14ac:dyDescent="0.35">
      <c r="B385" s="28" t="s">
        <v>145</v>
      </c>
      <c r="C385" s="28">
        <v>74</v>
      </c>
      <c r="D385" s="39">
        <f>IF(4810&gt;0,C385 / K385,0)</f>
        <v>1.5384615384615385E-2</v>
      </c>
      <c r="E385" s="28">
        <v>1989</v>
      </c>
      <c r="F385" s="39">
        <f>IF(4810&gt;0,E385 / K385,0)</f>
        <v>0.41351351351351351</v>
      </c>
      <c r="G385" s="28">
        <v>2627</v>
      </c>
      <c r="H385" s="39">
        <f>IF(4810&gt;0,G385 / K385,0)</f>
        <v>0.5461538461538461</v>
      </c>
      <c r="I385" s="28">
        <v>120</v>
      </c>
      <c r="J385" s="39">
        <f>IF(4810&gt;0,I385 / K385,0)</f>
        <v>2.4948024948024949E-2</v>
      </c>
      <c r="K385" s="28">
        <f t="shared" si="19"/>
        <v>4810</v>
      </c>
      <c r="L385" s="36"/>
    </row>
    <row r="386" spans="2:13" x14ac:dyDescent="0.3">
      <c r="B386" s="27" t="s">
        <v>269</v>
      </c>
      <c r="C386" s="27">
        <f>SUM(C382:C385)</f>
        <v>20210</v>
      </c>
      <c r="D386" s="27"/>
      <c r="E386" s="27">
        <f>SUM(E382:E385)</f>
        <v>41797</v>
      </c>
      <c r="F386" s="27"/>
      <c r="G386" s="27">
        <f>SUM(G382:G385)</f>
        <v>4082</v>
      </c>
      <c r="H386" s="27"/>
      <c r="I386" s="27">
        <f>SUM(I382:I385)</f>
        <v>123</v>
      </c>
      <c r="J386" s="27"/>
      <c r="K386" s="27">
        <f>SUM(K382:K385)</f>
        <v>66212</v>
      </c>
    </row>
    <row r="387" spans="2:13" x14ac:dyDescent="0.3">
      <c r="B387" s="38" t="s">
        <v>226</v>
      </c>
      <c r="C387" s="23">
        <f>C386 / K386</f>
        <v>0.3052316800579955</v>
      </c>
      <c r="D387" s="8"/>
      <c r="E387" s="23">
        <f>E386 / K386</f>
        <v>0.63126019452667192</v>
      </c>
      <c r="F387" s="8"/>
      <c r="G387" s="23">
        <f>G386 / K386</f>
        <v>6.1650456110674802E-2</v>
      </c>
      <c r="H387" s="8"/>
      <c r="I387" s="23">
        <f>I386 / K386</f>
        <v>1.857669304657766E-3</v>
      </c>
      <c r="J387" s="8"/>
      <c r="K387" s="23">
        <f>K386 / K386</f>
        <v>1</v>
      </c>
    </row>
    <row r="390" spans="2:13" x14ac:dyDescent="0.3">
      <c r="B390" s="11" t="s">
        <v>282</v>
      </c>
      <c r="C390" s="12"/>
      <c r="D390" s="12"/>
      <c r="E390" s="12"/>
      <c r="F390" s="12"/>
      <c r="G390" s="12"/>
      <c r="H390" s="12"/>
      <c r="I390" s="12"/>
      <c r="J390" s="12"/>
      <c r="K390" s="12"/>
    </row>
    <row r="391" spans="2:13" x14ac:dyDescent="0.3">
      <c r="B391" s="12"/>
      <c r="C391" s="12"/>
      <c r="D391" s="12"/>
      <c r="E391" s="61" t="s">
        <v>265</v>
      </c>
      <c r="F391" s="61"/>
      <c r="G391" s="61"/>
      <c r="H391" s="61"/>
      <c r="I391" s="61"/>
      <c r="J391" s="61"/>
      <c r="K391" s="12"/>
    </row>
    <row r="392" spans="2:13" ht="57.6" x14ac:dyDescent="0.3">
      <c r="B392" s="20" t="s">
        <v>286</v>
      </c>
      <c r="C392" s="20" t="s">
        <v>75</v>
      </c>
      <c r="D392" s="20"/>
      <c r="E392" s="20" t="s">
        <v>4</v>
      </c>
      <c r="F392" s="20"/>
      <c r="G392" s="20" t="s">
        <v>5</v>
      </c>
      <c r="H392" s="20"/>
      <c r="I392" s="20" t="s">
        <v>6</v>
      </c>
      <c r="J392" s="20"/>
      <c r="K392" s="21" t="s">
        <v>224</v>
      </c>
      <c r="L392" s="37"/>
      <c r="M392" s="6"/>
    </row>
    <row r="393" spans="2:13" x14ac:dyDescent="0.3">
      <c r="B393" s="9" t="s">
        <v>38</v>
      </c>
      <c r="C393" s="9">
        <v>0</v>
      </c>
      <c r="D393" s="22">
        <f>IF(3921&gt;0,C393 / K393,0)</f>
        <v>0</v>
      </c>
      <c r="E393" s="9">
        <v>2416</v>
      </c>
      <c r="F393" s="22">
        <f>IF(3921&gt;0,E393 / K393,0)</f>
        <v>0.61616934455496042</v>
      </c>
      <c r="G393" s="9">
        <v>1032</v>
      </c>
      <c r="H393" s="22">
        <f>IF(3921&gt;0,G393 / K393,0)</f>
        <v>0.26319816373374139</v>
      </c>
      <c r="I393" s="9">
        <v>473</v>
      </c>
      <c r="J393" s="22">
        <f>IF(3921&gt;0,I393 / K393,0)</f>
        <v>0.12063249171129814</v>
      </c>
      <c r="K393" s="9">
        <f t="shared" ref="K393:K410" si="20">C393+E393+G393+I393</f>
        <v>3921</v>
      </c>
      <c r="L393" s="36"/>
    </row>
    <row r="394" spans="2:13" x14ac:dyDescent="0.3">
      <c r="B394" s="9" t="s">
        <v>147</v>
      </c>
      <c r="C394" s="9">
        <v>0</v>
      </c>
      <c r="D394" s="22">
        <f>IF(297&gt;0,C394 / K394,0)</f>
        <v>0</v>
      </c>
      <c r="E394" s="9">
        <v>267</v>
      </c>
      <c r="F394" s="22">
        <f>IF(297&gt;0,E394 / K394,0)</f>
        <v>0.89898989898989901</v>
      </c>
      <c r="G394" s="9">
        <v>30</v>
      </c>
      <c r="H394" s="22">
        <f>IF(297&gt;0,G394 / K394,0)</f>
        <v>0.10101010101010101</v>
      </c>
      <c r="I394" s="9">
        <v>0</v>
      </c>
      <c r="J394" s="22">
        <f>IF(297&gt;0,I394 / K394,0)</f>
        <v>0</v>
      </c>
      <c r="K394" s="9">
        <f t="shared" si="20"/>
        <v>297</v>
      </c>
      <c r="L394" s="36"/>
    </row>
    <row r="395" spans="2:13" x14ac:dyDescent="0.3">
      <c r="B395" s="9" t="s">
        <v>121</v>
      </c>
      <c r="C395" s="9">
        <v>0</v>
      </c>
      <c r="D395" s="22">
        <f>IF(3743&gt;0,C395 / K395,0)</f>
        <v>0</v>
      </c>
      <c r="E395" s="9">
        <v>3325</v>
      </c>
      <c r="F395" s="22">
        <f>IF(3743&gt;0,E395 / K395,0)</f>
        <v>0.8883248730964467</v>
      </c>
      <c r="G395" s="9">
        <v>414</v>
      </c>
      <c r="H395" s="22">
        <f>IF(3743&gt;0,G395 / K395,0)</f>
        <v>0.11060646540208389</v>
      </c>
      <c r="I395" s="9">
        <v>4</v>
      </c>
      <c r="J395" s="22">
        <f>IF(3743&gt;0,I395 / K395,0)</f>
        <v>1.0686615014694097E-3</v>
      </c>
      <c r="K395" s="9">
        <f t="shared" si="20"/>
        <v>3743</v>
      </c>
      <c r="L395" s="36"/>
    </row>
    <row r="396" spans="2:13" x14ac:dyDescent="0.3">
      <c r="B396" s="9" t="s">
        <v>122</v>
      </c>
      <c r="C396" s="9">
        <v>0</v>
      </c>
      <c r="D396" s="22">
        <f>IF(28&gt;0,C396 / K396,0)</f>
        <v>0</v>
      </c>
      <c r="E396" s="9">
        <v>26</v>
      </c>
      <c r="F396" s="22">
        <f>IF(28&gt;0,E396 / K396,0)</f>
        <v>0.9285714285714286</v>
      </c>
      <c r="G396" s="9">
        <v>2</v>
      </c>
      <c r="H396" s="22">
        <f>IF(28&gt;0,G396 / K396,0)</f>
        <v>7.1428571428571425E-2</v>
      </c>
      <c r="I396" s="9">
        <v>0</v>
      </c>
      <c r="J396" s="22">
        <f>IF(28&gt;0,I396 / K396,0)</f>
        <v>0</v>
      </c>
      <c r="K396" s="9">
        <f t="shared" si="20"/>
        <v>28</v>
      </c>
      <c r="L396" s="36"/>
    </row>
    <row r="397" spans="2:13" x14ac:dyDescent="0.3">
      <c r="B397" s="9" t="s">
        <v>39</v>
      </c>
      <c r="C397" s="9">
        <v>0</v>
      </c>
      <c r="D397" s="22">
        <f>IF(10031&gt;0,C397 / K397,0)</f>
        <v>0</v>
      </c>
      <c r="E397" s="9">
        <v>5785</v>
      </c>
      <c r="F397" s="22">
        <f>IF(10031&gt;0,E397 / K397,0)</f>
        <v>0.57671219220416703</v>
      </c>
      <c r="G397" s="9">
        <v>4152</v>
      </c>
      <c r="H397" s="22">
        <f>IF(10031&gt;0,G397 / K397,0)</f>
        <v>0.4139168577410029</v>
      </c>
      <c r="I397" s="9">
        <v>94</v>
      </c>
      <c r="J397" s="22">
        <f>IF(10031&gt;0,I397 / K397,0)</f>
        <v>9.3709500548300271E-3</v>
      </c>
      <c r="K397" s="9">
        <f t="shared" si="20"/>
        <v>10031</v>
      </c>
      <c r="L397" s="36"/>
    </row>
    <row r="398" spans="2:13" x14ac:dyDescent="0.3">
      <c r="B398" s="9" t="s">
        <v>123</v>
      </c>
      <c r="C398" s="9">
        <v>12</v>
      </c>
      <c r="D398" s="22">
        <f>IF(5195&gt;0,C398 / K398,0)</f>
        <v>2.3099133782483157E-3</v>
      </c>
      <c r="E398" s="9">
        <v>926</v>
      </c>
      <c r="F398" s="22">
        <f>IF(5195&gt;0,E398 / K398,0)</f>
        <v>0.17824831568816168</v>
      </c>
      <c r="G398" s="9">
        <v>4009</v>
      </c>
      <c r="H398" s="22">
        <f>IF(5195&gt;0,G398 / K398,0)</f>
        <v>0.7717035611164581</v>
      </c>
      <c r="I398" s="9">
        <v>248</v>
      </c>
      <c r="J398" s="22">
        <f>IF(5195&gt;0,I398 / K398,0)</f>
        <v>4.7738209817131859E-2</v>
      </c>
      <c r="K398" s="9">
        <f t="shared" si="20"/>
        <v>5195</v>
      </c>
      <c r="L398" s="36"/>
    </row>
    <row r="399" spans="2:13" x14ac:dyDescent="0.3">
      <c r="B399" s="9" t="s">
        <v>177</v>
      </c>
      <c r="C399" s="9">
        <v>0</v>
      </c>
      <c r="D399" s="22">
        <f>IF(2785&gt;0,C399 / K399,0)</f>
        <v>0</v>
      </c>
      <c r="E399" s="9">
        <v>2613</v>
      </c>
      <c r="F399" s="22">
        <f>IF(2785&gt;0,E399 / K399,0)</f>
        <v>0.93824057450628362</v>
      </c>
      <c r="G399" s="9">
        <v>166</v>
      </c>
      <c r="H399" s="22">
        <f>IF(2785&gt;0,G399 / K399,0)</f>
        <v>5.9605026929982048E-2</v>
      </c>
      <c r="I399" s="9">
        <v>6</v>
      </c>
      <c r="J399" s="22">
        <f>IF(2785&gt;0,I399 / K399,0)</f>
        <v>2.1543985637342907E-3</v>
      </c>
      <c r="K399" s="9">
        <f t="shared" si="20"/>
        <v>2785</v>
      </c>
      <c r="L399" s="36"/>
    </row>
    <row r="400" spans="2:13" x14ac:dyDescent="0.3">
      <c r="B400" s="9" t="s">
        <v>125</v>
      </c>
      <c r="C400" s="9">
        <v>0</v>
      </c>
      <c r="D400" s="22">
        <f>IF(28700&gt;0,C400 / K400,0)</f>
        <v>0</v>
      </c>
      <c r="E400" s="9">
        <v>21467</v>
      </c>
      <c r="F400" s="22">
        <f>IF(28700&gt;0,E400 / K400,0)</f>
        <v>0.74797909407665508</v>
      </c>
      <c r="G400" s="9">
        <v>7182</v>
      </c>
      <c r="H400" s="22">
        <f>IF(28700&gt;0,G400 / K400,0)</f>
        <v>0.25024390243902439</v>
      </c>
      <c r="I400" s="9">
        <v>51</v>
      </c>
      <c r="J400" s="22">
        <f>IF(28700&gt;0,I400 / K400,0)</f>
        <v>1.7770034843205575E-3</v>
      </c>
      <c r="K400" s="9">
        <f t="shared" si="20"/>
        <v>28700</v>
      </c>
      <c r="L400" s="36"/>
    </row>
    <row r="401" spans="2:13" x14ac:dyDescent="0.3">
      <c r="B401" s="9" t="s">
        <v>126</v>
      </c>
      <c r="C401" s="9">
        <v>0</v>
      </c>
      <c r="D401" s="22">
        <f>IF(21225&gt;0,C401 / K401,0)</f>
        <v>0</v>
      </c>
      <c r="E401" s="9">
        <v>20608</v>
      </c>
      <c r="F401" s="22">
        <f>IF(21225&gt;0,E401 / K401,0)</f>
        <v>0.97093050647820967</v>
      </c>
      <c r="G401" s="9">
        <v>588</v>
      </c>
      <c r="H401" s="22">
        <f>IF(21225&gt;0,G401 / K401,0)</f>
        <v>2.7703180212014133E-2</v>
      </c>
      <c r="I401" s="9">
        <v>29</v>
      </c>
      <c r="J401" s="22">
        <f>IF(21225&gt;0,I401 / K401,0)</f>
        <v>1.3663133097762074E-3</v>
      </c>
      <c r="K401" s="9">
        <f t="shared" si="20"/>
        <v>21225</v>
      </c>
      <c r="L401" s="36"/>
    </row>
    <row r="402" spans="2:13" x14ac:dyDescent="0.3">
      <c r="B402" s="9" t="s">
        <v>127</v>
      </c>
      <c r="C402" s="9">
        <v>0</v>
      </c>
      <c r="D402" s="22">
        <f>IF(262&gt;0,C402 / K402,0)</f>
        <v>0</v>
      </c>
      <c r="E402" s="9">
        <v>138</v>
      </c>
      <c r="F402" s="22">
        <f>IF(262&gt;0,E402 / K402,0)</f>
        <v>0.52671755725190839</v>
      </c>
      <c r="G402" s="9">
        <v>124</v>
      </c>
      <c r="H402" s="22">
        <f>IF(262&gt;0,G402 / K402,0)</f>
        <v>0.47328244274809161</v>
      </c>
      <c r="I402" s="9">
        <v>0</v>
      </c>
      <c r="J402" s="22">
        <f>IF(262&gt;0,I402 / K402,0)</f>
        <v>0</v>
      </c>
      <c r="K402" s="9">
        <f t="shared" si="20"/>
        <v>262</v>
      </c>
      <c r="L402" s="36"/>
    </row>
    <row r="403" spans="2:13" x14ac:dyDescent="0.3">
      <c r="B403" s="9" t="s">
        <v>128</v>
      </c>
      <c r="C403" s="9">
        <v>537</v>
      </c>
      <c r="D403" s="22">
        <f>IF(18915&gt;0,C403 / K403,0)</f>
        <v>2.8390166534496431E-2</v>
      </c>
      <c r="E403" s="9">
        <v>13838</v>
      </c>
      <c r="F403" s="22">
        <f>IF(18915&gt;0,E403 / K403,0)</f>
        <v>0.73158868622786144</v>
      </c>
      <c r="G403" s="9">
        <v>4439</v>
      </c>
      <c r="H403" s="22">
        <f>IF(18915&gt;0,G403 / K403,0)</f>
        <v>0.23468146973301612</v>
      </c>
      <c r="I403" s="9">
        <v>101</v>
      </c>
      <c r="J403" s="22">
        <f>IF(18915&gt;0,I403 / K403,0)</f>
        <v>5.3396775046259583E-3</v>
      </c>
      <c r="K403" s="9">
        <f t="shared" si="20"/>
        <v>18915</v>
      </c>
      <c r="L403" s="36"/>
    </row>
    <row r="404" spans="2:13" x14ac:dyDescent="0.3">
      <c r="B404" s="9" t="s">
        <v>129</v>
      </c>
      <c r="C404" s="9">
        <v>492</v>
      </c>
      <c r="D404" s="22">
        <f>IF(19113&gt;0,C404 / K404,0)</f>
        <v>2.5741641814471826E-2</v>
      </c>
      <c r="E404" s="9">
        <v>13374</v>
      </c>
      <c r="F404" s="22">
        <f>IF(19113&gt;0,E404 / K404,0)</f>
        <v>0.6997331659080207</v>
      </c>
      <c r="G404" s="9">
        <v>5133</v>
      </c>
      <c r="H404" s="22">
        <f>IF(19113&gt;0,G404 / K404,0)</f>
        <v>0.26856066551561764</v>
      </c>
      <c r="I404" s="9">
        <v>114</v>
      </c>
      <c r="J404" s="22">
        <f>IF(19113&gt;0,I404 / K404,0)</f>
        <v>5.9645267618898129E-3</v>
      </c>
      <c r="K404" s="9">
        <f t="shared" si="20"/>
        <v>19113</v>
      </c>
      <c r="L404" s="36"/>
    </row>
    <row r="405" spans="2:13" x14ac:dyDescent="0.3">
      <c r="B405" s="9" t="s">
        <v>130</v>
      </c>
      <c r="C405" s="9">
        <v>0</v>
      </c>
      <c r="D405" s="22">
        <f>IF(0&gt;0,C405 / K405,0)</f>
        <v>0</v>
      </c>
      <c r="E405" s="9">
        <v>0</v>
      </c>
      <c r="F405" s="22">
        <f>IF(0&gt;0,E405 / K405,0)</f>
        <v>0</v>
      </c>
      <c r="G405" s="9">
        <v>0</v>
      </c>
      <c r="H405" s="22">
        <f>IF(0&gt;0,G405 / K405,0)</f>
        <v>0</v>
      </c>
      <c r="I405" s="9">
        <v>0</v>
      </c>
      <c r="J405" s="22">
        <f>IF(0&gt;0,I405 / K405,0)</f>
        <v>0</v>
      </c>
      <c r="K405" s="9">
        <f t="shared" si="20"/>
        <v>0</v>
      </c>
      <c r="L405" s="36"/>
    </row>
    <row r="406" spans="2:13" x14ac:dyDescent="0.3">
      <c r="B406" s="9" t="s">
        <v>40</v>
      </c>
      <c r="C406" s="9">
        <v>0</v>
      </c>
      <c r="D406" s="22">
        <f>IF(29850&gt;0,C406 / K406,0)</f>
        <v>0</v>
      </c>
      <c r="E406" s="9">
        <v>19639</v>
      </c>
      <c r="F406" s="22">
        <f>IF(29850&gt;0,E406 / K406,0)</f>
        <v>0.65792294807370189</v>
      </c>
      <c r="G406" s="9">
        <v>5088</v>
      </c>
      <c r="H406" s="22">
        <f>IF(29850&gt;0,G406 / K406,0)</f>
        <v>0.17045226130653265</v>
      </c>
      <c r="I406" s="9">
        <v>5123</v>
      </c>
      <c r="J406" s="22">
        <f>IF(29850&gt;0,I406 / K406,0)</f>
        <v>0.17162479061976549</v>
      </c>
      <c r="K406" s="9">
        <f t="shared" si="20"/>
        <v>29850</v>
      </c>
      <c r="L406" s="36"/>
    </row>
    <row r="407" spans="2:13" x14ac:dyDescent="0.3">
      <c r="B407" s="9" t="s">
        <v>131</v>
      </c>
      <c r="C407" s="9">
        <v>0</v>
      </c>
      <c r="D407" s="22">
        <f>IF(16&gt;0,C407 / K407,0)</f>
        <v>0</v>
      </c>
      <c r="E407" s="9">
        <v>0</v>
      </c>
      <c r="F407" s="22">
        <f>IF(16&gt;0,E407 / K407,0)</f>
        <v>0</v>
      </c>
      <c r="G407" s="9">
        <v>16</v>
      </c>
      <c r="H407" s="22">
        <f>IF(16&gt;0,G407 / K407,0)</f>
        <v>1</v>
      </c>
      <c r="I407" s="9">
        <v>0</v>
      </c>
      <c r="J407" s="22">
        <f>IF(16&gt;0,I407 / K407,0)</f>
        <v>0</v>
      </c>
      <c r="K407" s="9">
        <f t="shared" si="20"/>
        <v>16</v>
      </c>
      <c r="L407" s="36"/>
    </row>
    <row r="408" spans="2:13" x14ac:dyDescent="0.3">
      <c r="B408" s="9" t="s">
        <v>132</v>
      </c>
      <c r="C408" s="9">
        <v>0</v>
      </c>
      <c r="D408" s="22">
        <f>IF(4370&gt;0,C408 / K408,0)</f>
        <v>0</v>
      </c>
      <c r="E408" s="9">
        <v>4302</v>
      </c>
      <c r="F408" s="22">
        <f>IF(4370&gt;0,E408 / K408,0)</f>
        <v>0.98443935926773452</v>
      </c>
      <c r="G408" s="9">
        <v>67</v>
      </c>
      <c r="H408" s="22">
        <f>IF(4370&gt;0,G408 / K408,0)</f>
        <v>1.5331807780320367E-2</v>
      </c>
      <c r="I408" s="9">
        <v>1</v>
      </c>
      <c r="J408" s="22">
        <f>IF(4370&gt;0,I408 / K408,0)</f>
        <v>2.288329519450801E-4</v>
      </c>
      <c r="K408" s="9">
        <f t="shared" si="20"/>
        <v>4370</v>
      </c>
      <c r="L408" s="36"/>
    </row>
    <row r="409" spans="2:13" x14ac:dyDescent="0.3">
      <c r="B409" s="9" t="s">
        <v>71</v>
      </c>
      <c r="C409" s="9">
        <v>0</v>
      </c>
      <c r="D409" s="22">
        <f>IF(2013&gt;0,C409 / K409,0)</f>
        <v>0</v>
      </c>
      <c r="E409" s="9">
        <v>2011</v>
      </c>
      <c r="F409" s="22">
        <f>IF(2013&gt;0,E409 / K409,0)</f>
        <v>0.99900645802285148</v>
      </c>
      <c r="G409" s="9">
        <v>0</v>
      </c>
      <c r="H409" s="22">
        <f>IF(2013&gt;0,G409 / K409,0)</f>
        <v>0</v>
      </c>
      <c r="I409" s="9">
        <v>2</v>
      </c>
      <c r="J409" s="22">
        <f>IF(2013&gt;0,I409 / K409,0)</f>
        <v>9.9354197714853452E-4</v>
      </c>
      <c r="K409" s="9">
        <f t="shared" si="20"/>
        <v>2013</v>
      </c>
      <c r="L409" s="36"/>
    </row>
    <row r="410" spans="2:13" ht="15" thickBot="1" x14ac:dyDescent="0.35">
      <c r="B410" s="28" t="s">
        <v>133</v>
      </c>
      <c r="C410" s="28">
        <v>0</v>
      </c>
      <c r="D410" s="39">
        <f>IF(839&gt;0,C410 / K410,0)</f>
        <v>0</v>
      </c>
      <c r="E410" s="28">
        <v>702</v>
      </c>
      <c r="F410" s="39">
        <f>IF(839&gt;0,E410 / K410,0)</f>
        <v>0.83671036948748512</v>
      </c>
      <c r="G410" s="28">
        <v>54</v>
      </c>
      <c r="H410" s="39">
        <f>IF(839&gt;0,G410 / K410,0)</f>
        <v>6.4362336114421936E-2</v>
      </c>
      <c r="I410" s="28">
        <v>83</v>
      </c>
      <c r="J410" s="39">
        <f>IF(839&gt;0,I410 / K410,0)</f>
        <v>9.8927294398092974E-2</v>
      </c>
      <c r="K410" s="28">
        <f t="shared" si="20"/>
        <v>839</v>
      </c>
      <c r="L410" s="36"/>
    </row>
    <row r="411" spans="2:13" x14ac:dyDescent="0.3">
      <c r="B411" s="27" t="s">
        <v>269</v>
      </c>
      <c r="C411" s="27">
        <f>SUM(C393:C410)</f>
        <v>1041</v>
      </c>
      <c r="D411" s="27"/>
      <c r="E411" s="27">
        <f>SUM(E393:E410)</f>
        <v>111437</v>
      </c>
      <c r="F411" s="27"/>
      <c r="G411" s="27">
        <f>SUM(G393:G410)</f>
        <v>32496</v>
      </c>
      <c r="H411" s="27"/>
      <c r="I411" s="27">
        <f>SUM(I393:I410)</f>
        <v>6329</v>
      </c>
      <c r="J411" s="27"/>
      <c r="K411" s="27">
        <f>SUM(K393:K410)</f>
        <v>151303</v>
      </c>
    </row>
    <row r="412" spans="2:13" x14ac:dyDescent="0.3">
      <c r="B412" s="38" t="s">
        <v>226</v>
      </c>
      <c r="C412" s="23">
        <f>C411 / K411</f>
        <v>6.8802337032312644E-3</v>
      </c>
      <c r="D412" s="8"/>
      <c r="E412" s="23">
        <f>E411 / K411</f>
        <v>0.73651546895963727</v>
      </c>
      <c r="F412" s="8"/>
      <c r="G412" s="23">
        <f>G411 / K411</f>
        <v>0.21477432701268315</v>
      </c>
      <c r="H412" s="8"/>
      <c r="I412" s="23">
        <f>I411 / K411</f>
        <v>4.1829970324448296E-2</v>
      </c>
      <c r="J412" s="8"/>
      <c r="K412" s="23">
        <f>K411 / K411</f>
        <v>1</v>
      </c>
    </row>
    <row r="414" spans="2:13" x14ac:dyDescent="0.3">
      <c r="B414" s="11" t="s">
        <v>283</v>
      </c>
      <c r="C414" s="12"/>
      <c r="D414" s="12"/>
      <c r="E414" s="12"/>
      <c r="F414" s="12"/>
      <c r="G414" s="12"/>
      <c r="H414" s="12"/>
      <c r="I414" s="12"/>
      <c r="J414" s="12"/>
      <c r="K414" s="12"/>
    </row>
    <row r="415" spans="2:13" x14ac:dyDescent="0.3">
      <c r="B415" s="12"/>
      <c r="C415" s="12"/>
      <c r="D415" s="12"/>
      <c r="E415" s="12"/>
      <c r="F415" s="12"/>
      <c r="G415" s="12"/>
      <c r="H415" s="12"/>
      <c r="I415" s="12"/>
      <c r="J415" s="12"/>
      <c r="K415" s="12"/>
    </row>
    <row r="416" spans="2:13" ht="57.6" x14ac:dyDescent="0.3">
      <c r="B416" s="20" t="s">
        <v>192</v>
      </c>
      <c r="C416" s="20" t="s">
        <v>75</v>
      </c>
      <c r="D416" s="20"/>
      <c r="E416" s="20" t="s">
        <v>4</v>
      </c>
      <c r="F416" s="20"/>
      <c r="G416" s="20" t="s">
        <v>5</v>
      </c>
      <c r="H416" s="20"/>
      <c r="I416" s="20" t="s">
        <v>6</v>
      </c>
      <c r="J416" s="20"/>
      <c r="K416" s="21" t="s">
        <v>224</v>
      </c>
      <c r="L416" s="37"/>
      <c r="M416" s="6"/>
    </row>
    <row r="417" spans="2:13" x14ac:dyDescent="0.3">
      <c r="B417" s="9" t="s">
        <v>134</v>
      </c>
      <c r="C417" s="9">
        <v>0</v>
      </c>
      <c r="D417" s="22">
        <f>IF(5845&gt;0,C417 / K417,0)</f>
        <v>0</v>
      </c>
      <c r="E417" s="9">
        <v>4150</v>
      </c>
      <c r="F417" s="22">
        <f>IF(5845&gt;0,E417 / K417,0)</f>
        <v>0.7100085543199316</v>
      </c>
      <c r="G417" s="9">
        <v>1616</v>
      </c>
      <c r="H417" s="22">
        <f>IF(5845&gt;0,G417 / K417,0)</f>
        <v>0.27647562018819505</v>
      </c>
      <c r="I417" s="9">
        <v>79</v>
      </c>
      <c r="J417" s="22">
        <f>IF(5845&gt;0,I417 / K417,0)</f>
        <v>1.3515825491873397E-2</v>
      </c>
      <c r="K417" s="9">
        <f t="shared" ref="K417:K419" si="21">C417+E417+G417+I417</f>
        <v>5845</v>
      </c>
      <c r="L417" s="36"/>
    </row>
    <row r="418" spans="2:13" x14ac:dyDescent="0.3">
      <c r="B418" s="9" t="s">
        <v>198</v>
      </c>
      <c r="C418" s="9">
        <v>0</v>
      </c>
      <c r="D418" s="22">
        <f>IF(2836&gt;0,C418 / K418,0)</f>
        <v>0</v>
      </c>
      <c r="E418" s="9">
        <v>1437</v>
      </c>
      <c r="F418" s="22">
        <f>IF(2836&gt;0,E418 / K418,0)</f>
        <v>0.50669957686882938</v>
      </c>
      <c r="G418" s="9">
        <v>1385</v>
      </c>
      <c r="H418" s="22">
        <f>IF(2836&gt;0,G418 / K418,0)</f>
        <v>0.48836389280677012</v>
      </c>
      <c r="I418" s="9">
        <v>14</v>
      </c>
      <c r="J418" s="22">
        <f>IF(2836&gt;0,I418 / K418,0)</f>
        <v>4.9365303244005643E-3</v>
      </c>
      <c r="K418" s="9">
        <f t="shared" si="21"/>
        <v>2836</v>
      </c>
      <c r="L418" s="36"/>
    </row>
    <row r="419" spans="2:13" ht="15" thickBot="1" x14ac:dyDescent="0.35">
      <c r="B419" s="28" t="s">
        <v>136</v>
      </c>
      <c r="C419" s="28">
        <v>0</v>
      </c>
      <c r="D419" s="39">
        <f>IF(1350&gt;0,C419 / K419,0)</f>
        <v>0</v>
      </c>
      <c r="E419" s="28">
        <v>198</v>
      </c>
      <c r="F419" s="39">
        <f>IF(1350&gt;0,E419 / K419,0)</f>
        <v>0.14666666666666667</v>
      </c>
      <c r="G419" s="28">
        <v>1151</v>
      </c>
      <c r="H419" s="39">
        <f>IF(1350&gt;0,G419 / K419,0)</f>
        <v>0.85259259259259257</v>
      </c>
      <c r="I419" s="28">
        <v>1</v>
      </c>
      <c r="J419" s="39">
        <f>IF(1350&gt;0,I419 / K419,0)</f>
        <v>7.407407407407407E-4</v>
      </c>
      <c r="K419" s="28">
        <f t="shared" si="21"/>
        <v>1350</v>
      </c>
      <c r="L419" s="36"/>
    </row>
    <row r="420" spans="2:13" x14ac:dyDescent="0.3">
      <c r="B420" s="27" t="s">
        <v>269</v>
      </c>
      <c r="C420" s="27">
        <f>SUM(C417:C419)</f>
        <v>0</v>
      </c>
      <c r="D420" s="27"/>
      <c r="E420" s="27">
        <f>SUM(E417:E419)</f>
        <v>5785</v>
      </c>
      <c r="F420" s="27"/>
      <c r="G420" s="27">
        <f>SUM(G417:G419)</f>
        <v>4152</v>
      </c>
      <c r="H420" s="27"/>
      <c r="I420" s="27">
        <f>SUM(I417:I419)</f>
        <v>94</v>
      </c>
      <c r="J420" s="27"/>
      <c r="K420" s="27">
        <f>SUM(K417:K419)</f>
        <v>10031</v>
      </c>
    </row>
    <row r="421" spans="2:13" x14ac:dyDescent="0.3">
      <c r="B421" s="38" t="s">
        <v>226</v>
      </c>
      <c r="C421" s="23">
        <f>C420 / K420</f>
        <v>0</v>
      </c>
      <c r="D421" s="8"/>
      <c r="E421" s="23">
        <f>E420 / K420</f>
        <v>0.57671219220416703</v>
      </c>
      <c r="F421" s="8"/>
      <c r="G421" s="23">
        <f>G420 / K420</f>
        <v>0.4139168577410029</v>
      </c>
      <c r="H421" s="8"/>
      <c r="I421" s="23">
        <f>I420 / K420</f>
        <v>9.3709500548300271E-3</v>
      </c>
      <c r="J421" s="8"/>
      <c r="K421" s="23">
        <f>K420 / K420</f>
        <v>1</v>
      </c>
    </row>
    <row r="423" spans="2:13" x14ac:dyDescent="0.3">
      <c r="B423" s="11" t="s">
        <v>284</v>
      </c>
      <c r="C423" s="12"/>
      <c r="D423" s="12"/>
      <c r="E423" s="12"/>
      <c r="F423" s="12"/>
      <c r="G423" s="12"/>
      <c r="H423" s="12"/>
      <c r="I423" s="12"/>
      <c r="J423" s="12"/>
      <c r="K423" s="12"/>
    </row>
    <row r="424" spans="2:13" x14ac:dyDescent="0.3">
      <c r="B424" s="12"/>
      <c r="C424" s="12"/>
      <c r="D424" s="12"/>
      <c r="E424" s="12"/>
      <c r="F424" s="12"/>
      <c r="G424" s="12"/>
      <c r="H424" s="12"/>
      <c r="I424" s="12"/>
      <c r="J424" s="12"/>
      <c r="K424" s="12"/>
    </row>
    <row r="425" spans="2:13" ht="57.6" x14ac:dyDescent="0.3">
      <c r="B425" s="20" t="s">
        <v>193</v>
      </c>
      <c r="C425" s="20" t="s">
        <v>75</v>
      </c>
      <c r="D425" s="20"/>
      <c r="E425" s="20" t="s">
        <v>4</v>
      </c>
      <c r="F425" s="20"/>
      <c r="G425" s="20" t="s">
        <v>5</v>
      </c>
      <c r="H425" s="20"/>
      <c r="I425" s="20" t="s">
        <v>6</v>
      </c>
      <c r="J425" s="20"/>
      <c r="K425" s="21" t="s">
        <v>224</v>
      </c>
      <c r="L425" s="37"/>
      <c r="M425" s="6"/>
    </row>
    <row r="426" spans="2:13" x14ac:dyDescent="0.3">
      <c r="B426" s="9" t="s">
        <v>72</v>
      </c>
      <c r="C426" s="9">
        <v>0</v>
      </c>
      <c r="D426" s="22">
        <f>IF(944&gt;0,C426 / K426,0)</f>
        <v>0</v>
      </c>
      <c r="E426" s="9">
        <v>130</v>
      </c>
      <c r="F426" s="22">
        <f>IF(944&gt;0,E426 / K426,0)</f>
        <v>0.13771186440677965</v>
      </c>
      <c r="G426" s="9">
        <v>412</v>
      </c>
      <c r="H426" s="22">
        <f>IF(944&gt;0,G426 / K426,0)</f>
        <v>0.4364406779661017</v>
      </c>
      <c r="I426" s="9">
        <v>402</v>
      </c>
      <c r="J426" s="22">
        <f>IF(944&gt;0,I426 / K426,0)</f>
        <v>0.42584745762711862</v>
      </c>
      <c r="K426" s="9">
        <f t="shared" ref="K426:K428" si="22">C426+E426+G426+I426</f>
        <v>944</v>
      </c>
      <c r="L426" s="36"/>
    </row>
    <row r="427" spans="2:13" x14ac:dyDescent="0.3">
      <c r="B427" s="9" t="s">
        <v>287</v>
      </c>
      <c r="C427" s="9">
        <v>0</v>
      </c>
      <c r="D427" s="22">
        <f>IF(248&gt;0,C427 / K427,0)</f>
        <v>0</v>
      </c>
      <c r="E427" s="9">
        <v>244</v>
      </c>
      <c r="F427" s="22">
        <f>IF(248&gt;0,E427 / K427,0)</f>
        <v>0.9838709677419355</v>
      </c>
      <c r="G427" s="9">
        <v>2</v>
      </c>
      <c r="H427" s="22">
        <f>IF(248&gt;0,G427 / K427,0)</f>
        <v>8.0645161290322578E-3</v>
      </c>
      <c r="I427" s="9">
        <v>2</v>
      </c>
      <c r="J427" s="22">
        <f>IF(248&gt;0,I427 / K427,0)</f>
        <v>8.0645161290322578E-3</v>
      </c>
      <c r="K427" s="9">
        <f t="shared" si="22"/>
        <v>248</v>
      </c>
      <c r="L427" s="36"/>
    </row>
    <row r="428" spans="2:13" ht="15" thickBot="1" x14ac:dyDescent="0.35">
      <c r="B428" s="28" t="s">
        <v>288</v>
      </c>
      <c r="C428" s="28">
        <v>0</v>
      </c>
      <c r="D428" s="39">
        <f>IF(2729&gt;0,C428 / K428,0)</f>
        <v>0</v>
      </c>
      <c r="E428" s="28">
        <v>2042</v>
      </c>
      <c r="F428" s="39">
        <f>IF(2729&gt;0,E428 / K428,0)</f>
        <v>0.74825943569072917</v>
      </c>
      <c r="G428" s="28">
        <v>618</v>
      </c>
      <c r="H428" s="39">
        <f>IF(2729&gt;0,G428 / K428,0)</f>
        <v>0.22645657750091608</v>
      </c>
      <c r="I428" s="28">
        <v>69</v>
      </c>
      <c r="J428" s="39">
        <f>IF(2729&gt;0,I428 / K428,0)</f>
        <v>2.5283986808354707E-2</v>
      </c>
      <c r="K428" s="28">
        <f t="shared" si="22"/>
        <v>2729</v>
      </c>
      <c r="L428" s="36"/>
    </row>
    <row r="429" spans="2:13" x14ac:dyDescent="0.3">
      <c r="B429" s="27" t="s">
        <v>269</v>
      </c>
      <c r="C429" s="27">
        <f>SUM(C426:C428)</f>
        <v>0</v>
      </c>
      <c r="D429" s="27"/>
      <c r="E429" s="27">
        <f>SUM(E426:E428)</f>
        <v>2416</v>
      </c>
      <c r="F429" s="27"/>
      <c r="G429" s="27">
        <f>SUM(G426:G428)</f>
        <v>1032</v>
      </c>
      <c r="H429" s="27"/>
      <c r="I429" s="27">
        <f>SUM(I426:I428)</f>
        <v>473</v>
      </c>
      <c r="J429" s="27"/>
      <c r="K429" s="27">
        <f>SUM(K426:K428)</f>
        <v>3921</v>
      </c>
    </row>
    <row r="430" spans="2:13" x14ac:dyDescent="0.3">
      <c r="B430" s="38" t="s">
        <v>226</v>
      </c>
      <c r="C430" s="23">
        <f>C429 / K429</f>
        <v>0</v>
      </c>
      <c r="D430" s="8"/>
      <c r="E430" s="23">
        <f>E429 / K429</f>
        <v>0.61616934455496042</v>
      </c>
      <c r="F430" s="8"/>
      <c r="G430" s="23">
        <f>G429 / K429</f>
        <v>0.26319816373374139</v>
      </c>
      <c r="H430" s="8"/>
      <c r="I430" s="23">
        <f>I429 / K429</f>
        <v>0.12063249171129814</v>
      </c>
      <c r="J430" s="8"/>
      <c r="K430" s="23">
        <f>K429 / K429</f>
        <v>1</v>
      </c>
    </row>
    <row r="432" spans="2:13" x14ac:dyDescent="0.3">
      <c r="B432" s="11" t="s">
        <v>285</v>
      </c>
      <c r="C432" s="12"/>
      <c r="D432" s="12"/>
      <c r="E432" s="12"/>
      <c r="F432" s="12"/>
      <c r="G432" s="12"/>
      <c r="H432" s="12"/>
      <c r="I432" s="12"/>
      <c r="J432" s="12"/>
      <c r="K432" s="12"/>
    </row>
    <row r="433" spans="2:13" x14ac:dyDescent="0.3">
      <c r="B433" s="12"/>
      <c r="C433" s="12"/>
      <c r="D433" s="12"/>
      <c r="E433" s="12"/>
      <c r="F433" s="12"/>
      <c r="G433" s="12"/>
      <c r="H433" s="12"/>
      <c r="I433" s="12"/>
      <c r="J433" s="12"/>
      <c r="K433" s="12"/>
    </row>
    <row r="434" spans="2:13" ht="57.6" x14ac:dyDescent="0.3">
      <c r="B434" s="20" t="s">
        <v>286</v>
      </c>
      <c r="C434" s="20" t="s">
        <v>75</v>
      </c>
      <c r="D434" s="20"/>
      <c r="E434" s="20" t="s">
        <v>4</v>
      </c>
      <c r="F434" s="20"/>
      <c r="G434" s="20" t="s">
        <v>5</v>
      </c>
      <c r="H434" s="20"/>
      <c r="I434" s="20" t="s">
        <v>6</v>
      </c>
      <c r="J434" s="20"/>
      <c r="K434" s="21" t="s">
        <v>224</v>
      </c>
      <c r="L434" s="37"/>
      <c r="M434" s="6"/>
    </row>
    <row r="435" spans="2:13" x14ac:dyDescent="0.3">
      <c r="B435" s="9" t="s">
        <v>137</v>
      </c>
      <c r="C435" s="9">
        <v>0</v>
      </c>
      <c r="D435" s="22">
        <f>IF(3296&gt;0,C435 / K435,0)</f>
        <v>0</v>
      </c>
      <c r="E435" s="9">
        <v>1417</v>
      </c>
      <c r="F435" s="22">
        <f>IF(3296&gt;0,E435 / K435,0)</f>
        <v>0.42991504854368934</v>
      </c>
      <c r="G435" s="9">
        <v>337</v>
      </c>
      <c r="H435" s="22">
        <f>IF(3296&gt;0,G435 / K435,0)</f>
        <v>0.10224514563106796</v>
      </c>
      <c r="I435" s="9">
        <v>1542</v>
      </c>
      <c r="J435" s="22">
        <f>IF(3296&gt;0,I435 / K435,0)</f>
        <v>0.4678398058252427</v>
      </c>
      <c r="K435" s="9">
        <f t="shared" ref="K435:K440" si="23">C435+E435+G435+I435</f>
        <v>3296</v>
      </c>
      <c r="L435" s="36"/>
    </row>
    <row r="436" spans="2:13" x14ac:dyDescent="0.3">
      <c r="B436" s="9" t="s">
        <v>138</v>
      </c>
      <c r="C436" s="9">
        <v>0</v>
      </c>
      <c r="D436" s="22">
        <f>IF(13914&gt;0,C436 / K436,0)</f>
        <v>0</v>
      </c>
      <c r="E436" s="9">
        <v>8975</v>
      </c>
      <c r="F436" s="22">
        <f>IF(13914&gt;0,E436 / K436,0)</f>
        <v>0.64503377892769875</v>
      </c>
      <c r="G436" s="9">
        <v>3225</v>
      </c>
      <c r="H436" s="22">
        <f>IF(13914&gt;0,G436 / K436,0)</f>
        <v>0.23178094006037084</v>
      </c>
      <c r="I436" s="9">
        <v>1714</v>
      </c>
      <c r="J436" s="22">
        <f>IF(13914&gt;0,I436 / K436,0)</f>
        <v>0.12318528101193044</v>
      </c>
      <c r="K436" s="9">
        <f t="shared" si="23"/>
        <v>13914</v>
      </c>
      <c r="L436" s="36"/>
    </row>
    <row r="437" spans="2:13" x14ac:dyDescent="0.3">
      <c r="B437" s="9" t="s">
        <v>139</v>
      </c>
      <c r="C437" s="9">
        <v>0</v>
      </c>
      <c r="D437" s="22">
        <f>IF(0&gt;0,C437 / K437,0)</f>
        <v>0</v>
      </c>
      <c r="E437" s="9">
        <v>0</v>
      </c>
      <c r="F437" s="22">
        <f>IF(0&gt;0,E437 / K437,0)</f>
        <v>0</v>
      </c>
      <c r="G437" s="9">
        <v>0</v>
      </c>
      <c r="H437" s="22">
        <f>IF(0&gt;0,G437 / K437,0)</f>
        <v>0</v>
      </c>
      <c r="I437" s="9">
        <v>0</v>
      </c>
      <c r="J437" s="22">
        <f>IF(0&gt;0,I437 / K437,0)</f>
        <v>0</v>
      </c>
      <c r="K437" s="9">
        <f t="shared" si="23"/>
        <v>0</v>
      </c>
      <c r="L437" s="36"/>
    </row>
    <row r="438" spans="2:13" x14ac:dyDescent="0.3">
      <c r="B438" s="9" t="s">
        <v>140</v>
      </c>
      <c r="C438" s="9">
        <v>0</v>
      </c>
      <c r="D438" s="22">
        <f>IF(8770&gt;0,C438 / K438,0)</f>
        <v>0</v>
      </c>
      <c r="E438" s="9">
        <v>6055</v>
      </c>
      <c r="F438" s="22">
        <f>IF(8770&gt;0,E438 / K438,0)</f>
        <v>0.69042189281641964</v>
      </c>
      <c r="G438" s="9">
        <v>1142</v>
      </c>
      <c r="H438" s="22">
        <f>IF(8770&gt;0,G438 / K438,0)</f>
        <v>0.13021664766248575</v>
      </c>
      <c r="I438" s="9">
        <v>1573</v>
      </c>
      <c r="J438" s="22">
        <f>IF(8770&gt;0,I438 / K438,0)</f>
        <v>0.17936145952109464</v>
      </c>
      <c r="K438" s="9">
        <f t="shared" si="23"/>
        <v>8770</v>
      </c>
      <c r="L438" s="36"/>
    </row>
    <row r="439" spans="2:13" x14ac:dyDescent="0.3">
      <c r="B439" s="9" t="s">
        <v>141</v>
      </c>
      <c r="C439" s="9">
        <v>0</v>
      </c>
      <c r="D439" s="22">
        <f>IF(2769&gt;0,C439 / K439,0)</f>
        <v>0</v>
      </c>
      <c r="E439" s="9">
        <v>2423</v>
      </c>
      <c r="F439" s="22">
        <f>IF(2769&gt;0,E439 / K439,0)</f>
        <v>0.87504514265077649</v>
      </c>
      <c r="G439" s="9">
        <v>336</v>
      </c>
      <c r="H439" s="22">
        <f>IF(2769&gt;0,G439 / K439,0)</f>
        <v>0.12134344528710726</v>
      </c>
      <c r="I439" s="9">
        <v>10</v>
      </c>
      <c r="J439" s="22">
        <f>IF(2769&gt;0,I439 / K439,0)</f>
        <v>3.6114120621162874E-3</v>
      </c>
      <c r="K439" s="9">
        <f t="shared" si="23"/>
        <v>2769</v>
      </c>
      <c r="L439" s="36"/>
    </row>
    <row r="440" spans="2:13" ht="15" thickBot="1" x14ac:dyDescent="0.35">
      <c r="B440" s="28" t="s">
        <v>142</v>
      </c>
      <c r="C440" s="28">
        <v>0</v>
      </c>
      <c r="D440" s="39">
        <f>IF(1101&gt;0,C440 / K440,0)</f>
        <v>0</v>
      </c>
      <c r="E440" s="28">
        <v>769</v>
      </c>
      <c r="F440" s="39">
        <f>IF(1101&gt;0,E440 / K440,0)</f>
        <v>0.69845594913714804</v>
      </c>
      <c r="G440" s="28">
        <v>48</v>
      </c>
      <c r="H440" s="39">
        <f>IF(1101&gt;0,G440 / K440,0)</f>
        <v>4.3596730245231606E-2</v>
      </c>
      <c r="I440" s="28">
        <v>284</v>
      </c>
      <c r="J440" s="39">
        <f>IF(1101&gt;0,I440 / K440,0)</f>
        <v>0.25794732061762032</v>
      </c>
      <c r="K440" s="28">
        <f t="shared" si="23"/>
        <v>1101</v>
      </c>
      <c r="L440" s="36"/>
    </row>
    <row r="441" spans="2:13" x14ac:dyDescent="0.3">
      <c r="B441" s="27" t="s">
        <v>269</v>
      </c>
      <c r="C441" s="27">
        <f>SUM(C435:C440)</f>
        <v>0</v>
      </c>
      <c r="D441" s="27"/>
      <c r="E441" s="27">
        <f>SUM(E435:E440)</f>
        <v>19639</v>
      </c>
      <c r="F441" s="27"/>
      <c r="G441" s="27">
        <f>SUM(G435:G440)</f>
        <v>5088</v>
      </c>
      <c r="H441" s="27"/>
      <c r="I441" s="27">
        <f>SUM(I435:I440)</f>
        <v>5123</v>
      </c>
      <c r="J441" s="27"/>
      <c r="K441" s="27">
        <f>SUM(K435:K440)</f>
        <v>29850</v>
      </c>
    </row>
    <row r="442" spans="2:13" x14ac:dyDescent="0.3">
      <c r="B442" s="38" t="s">
        <v>226</v>
      </c>
      <c r="C442" s="23">
        <f>C441 / K441</f>
        <v>0</v>
      </c>
      <c r="D442" s="8"/>
      <c r="E442" s="23">
        <f>E441 / K441</f>
        <v>0.65792294807370189</v>
      </c>
      <c r="F442" s="8"/>
      <c r="G442" s="23">
        <f>G441 / K441</f>
        <v>0.17045226130653265</v>
      </c>
      <c r="H442" s="8"/>
      <c r="I442" s="23">
        <f>I441 / K441</f>
        <v>0.17162479061976549</v>
      </c>
      <c r="J442" s="8"/>
      <c r="K442" s="23">
        <f>K441 / K441</f>
        <v>1</v>
      </c>
    </row>
  </sheetData>
  <mergeCells count="11">
    <mergeCell ref="E311:J311"/>
    <mergeCell ref="E321:J321"/>
    <mergeCell ref="E369:J369"/>
    <mergeCell ref="E380:J380"/>
    <mergeCell ref="E391:J391"/>
    <mergeCell ref="E263:J263"/>
    <mergeCell ref="E5:J5"/>
    <mergeCell ref="E155:J155"/>
    <mergeCell ref="E171:J171"/>
    <mergeCell ref="E191:J191"/>
    <mergeCell ref="E239:J239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/>
  <dimension ref="B2:U161"/>
  <sheetViews>
    <sheetView workbookViewId="0">
      <selection activeCell="B1" sqref="B1"/>
    </sheetView>
  </sheetViews>
  <sheetFormatPr baseColWidth="10" defaultRowHeight="14.4" x14ac:dyDescent="0.3"/>
  <cols>
    <col min="1" max="1" width="37.88671875" customWidth="1"/>
    <col min="2" max="2" width="112.88671875" customWidth="1"/>
    <col min="3" max="21" width="15.33203125" customWidth="1"/>
  </cols>
  <sheetData>
    <row r="2" spans="2:6" ht="15.6" x14ac:dyDescent="0.3">
      <c r="B2" s="50" t="s">
        <v>319</v>
      </c>
      <c r="C2" s="51"/>
      <c r="D2" s="51"/>
      <c r="E2" s="51"/>
      <c r="F2" s="51"/>
    </row>
    <row r="4" spans="2:6" x14ac:dyDescent="0.3">
      <c r="B4" s="11" t="s">
        <v>305</v>
      </c>
      <c r="C4" s="12"/>
      <c r="D4" s="12"/>
      <c r="E4" s="12"/>
      <c r="F4" s="12"/>
    </row>
    <row r="5" spans="2:6" x14ac:dyDescent="0.3">
      <c r="B5" s="12"/>
      <c r="C5" s="12"/>
      <c r="D5" s="12"/>
      <c r="E5" s="12"/>
      <c r="F5" s="12"/>
    </row>
    <row r="6" spans="2:6" s="6" customFormat="1" ht="109.5" customHeight="1" x14ac:dyDescent="0.3">
      <c r="B6" s="20" t="s">
        <v>178</v>
      </c>
      <c r="C6" s="20" t="s">
        <v>240</v>
      </c>
      <c r="D6" s="20" t="s">
        <v>239</v>
      </c>
      <c r="E6" s="20" t="s">
        <v>37</v>
      </c>
      <c r="F6" s="21" t="s">
        <v>224</v>
      </c>
    </row>
    <row r="7" spans="2:6" x14ac:dyDescent="0.3">
      <c r="B7" s="9" t="s">
        <v>148</v>
      </c>
      <c r="C7" s="9">
        <v>80221</v>
      </c>
      <c r="D7" s="9">
        <v>5632</v>
      </c>
      <c r="E7" s="9">
        <v>51579</v>
      </c>
      <c r="F7" s="9">
        <f t="shared" ref="F7:F16" si="0">SUM(C7:E7)</f>
        <v>137432</v>
      </c>
    </row>
    <row r="8" spans="2:6" x14ac:dyDescent="0.3">
      <c r="B8" s="9" t="s">
        <v>149</v>
      </c>
      <c r="C8" s="9">
        <v>3761</v>
      </c>
      <c r="D8" s="9">
        <v>5800</v>
      </c>
      <c r="E8" s="9">
        <v>3243</v>
      </c>
      <c r="F8" s="9">
        <f t="shared" si="0"/>
        <v>12804</v>
      </c>
    </row>
    <row r="9" spans="2:6" x14ac:dyDescent="0.3">
      <c r="B9" s="9" t="s">
        <v>150</v>
      </c>
      <c r="C9" s="9">
        <v>25</v>
      </c>
      <c r="D9" s="9">
        <v>0</v>
      </c>
      <c r="E9" s="9">
        <v>4218</v>
      </c>
      <c r="F9" s="9">
        <f t="shared" si="0"/>
        <v>4243</v>
      </c>
    </row>
    <row r="10" spans="2:6" x14ac:dyDescent="0.3">
      <c r="B10" s="9" t="s">
        <v>151</v>
      </c>
      <c r="C10" s="9">
        <v>0</v>
      </c>
      <c r="D10" s="9">
        <v>0</v>
      </c>
      <c r="E10" s="9">
        <v>51636</v>
      </c>
      <c r="F10" s="9">
        <f t="shared" si="0"/>
        <v>51636</v>
      </c>
    </row>
    <row r="11" spans="2:6" x14ac:dyDescent="0.3">
      <c r="B11" s="9" t="s">
        <v>152</v>
      </c>
      <c r="C11" s="9">
        <v>0</v>
      </c>
      <c r="D11" s="9">
        <v>0</v>
      </c>
      <c r="E11" s="9">
        <v>38695</v>
      </c>
      <c r="F11" s="9">
        <f t="shared" si="0"/>
        <v>38695</v>
      </c>
    </row>
    <row r="12" spans="2:6" x14ac:dyDescent="0.3">
      <c r="B12" s="9" t="s">
        <v>153</v>
      </c>
      <c r="C12" s="9">
        <v>0</v>
      </c>
      <c r="D12" s="9">
        <v>365</v>
      </c>
      <c r="E12" s="9">
        <v>720</v>
      </c>
      <c r="F12" s="9">
        <f t="shared" si="0"/>
        <v>1085</v>
      </c>
    </row>
    <row r="13" spans="2:6" x14ac:dyDescent="0.3">
      <c r="B13" s="9" t="s">
        <v>154</v>
      </c>
      <c r="C13" s="9">
        <v>0</v>
      </c>
      <c r="D13" s="9">
        <v>0</v>
      </c>
      <c r="E13" s="9">
        <v>183</v>
      </c>
      <c r="F13" s="9">
        <f t="shared" si="0"/>
        <v>183</v>
      </c>
    </row>
    <row r="14" spans="2:6" x14ac:dyDescent="0.3">
      <c r="B14" s="9" t="s">
        <v>155</v>
      </c>
      <c r="C14" s="9">
        <v>0</v>
      </c>
      <c r="D14" s="9">
        <v>15</v>
      </c>
      <c r="E14" s="9">
        <v>128</v>
      </c>
      <c r="F14" s="9">
        <f t="shared" si="0"/>
        <v>143</v>
      </c>
    </row>
    <row r="15" spans="2:6" x14ac:dyDescent="0.3">
      <c r="B15" s="9" t="s">
        <v>156</v>
      </c>
      <c r="C15" s="9">
        <v>0</v>
      </c>
      <c r="D15" s="9">
        <v>0</v>
      </c>
      <c r="E15" s="9">
        <v>0</v>
      </c>
      <c r="F15" s="9">
        <f t="shared" si="0"/>
        <v>0</v>
      </c>
    </row>
    <row r="16" spans="2:6" ht="15" thickBot="1" x14ac:dyDescent="0.35">
      <c r="B16" s="28" t="s">
        <v>157</v>
      </c>
      <c r="C16" s="28">
        <v>0</v>
      </c>
      <c r="D16" s="28">
        <v>223</v>
      </c>
      <c r="E16" s="28">
        <v>901</v>
      </c>
      <c r="F16" s="28">
        <f t="shared" si="0"/>
        <v>1124</v>
      </c>
    </row>
    <row r="17" spans="2:7" x14ac:dyDescent="0.3">
      <c r="B17" s="27" t="s">
        <v>269</v>
      </c>
      <c r="C17" s="27">
        <f>SUM(C7:C16)</f>
        <v>84007</v>
      </c>
      <c r="D17" s="27">
        <f>SUM(D7:D16)</f>
        <v>12035</v>
      </c>
      <c r="E17" s="27">
        <f>SUM(E7:E16)</f>
        <v>151303</v>
      </c>
      <c r="F17" s="27">
        <f>SUM(F7:F16)</f>
        <v>247345</v>
      </c>
    </row>
    <row r="18" spans="2:7" x14ac:dyDescent="0.3">
      <c r="B18" s="38" t="s">
        <v>226</v>
      </c>
      <c r="C18" s="23">
        <f>C17 / F17</f>
        <v>0.33963492288099617</v>
      </c>
      <c r="D18" s="23">
        <f>D17 / F17</f>
        <v>4.8656734520608869E-2</v>
      </c>
      <c r="E18" s="23">
        <f>E17 / F17</f>
        <v>0.61170834259839491</v>
      </c>
      <c r="F18" s="23">
        <f>F17 / F17</f>
        <v>1</v>
      </c>
    </row>
    <row r="20" spans="2:7" x14ac:dyDescent="0.3">
      <c r="B20" s="11" t="s">
        <v>289</v>
      </c>
      <c r="C20" s="12"/>
      <c r="D20" s="12"/>
      <c r="E20" s="12"/>
      <c r="F20" s="12"/>
      <c r="G20" s="12"/>
    </row>
    <row r="21" spans="2:7" x14ac:dyDescent="0.3">
      <c r="B21" s="12"/>
      <c r="C21" s="12"/>
      <c r="D21" s="12"/>
      <c r="E21" s="12"/>
      <c r="F21" s="12"/>
      <c r="G21" s="12"/>
    </row>
    <row r="22" spans="2:7" s="6" customFormat="1" ht="60" customHeight="1" x14ac:dyDescent="0.3">
      <c r="B22" s="20" t="s">
        <v>178</v>
      </c>
      <c r="C22" s="20" t="s">
        <v>242</v>
      </c>
      <c r="D22" s="20" t="s">
        <v>290</v>
      </c>
      <c r="E22" s="20" t="s">
        <v>244</v>
      </c>
      <c r="F22" s="20" t="s">
        <v>291</v>
      </c>
      <c r="G22" s="21" t="s">
        <v>224</v>
      </c>
    </row>
    <row r="23" spans="2:7" x14ac:dyDescent="0.3">
      <c r="B23" s="9" t="s">
        <v>148</v>
      </c>
      <c r="C23" s="9">
        <v>21118</v>
      </c>
      <c r="D23" s="9">
        <v>1371</v>
      </c>
      <c r="E23" s="9">
        <v>57732</v>
      </c>
      <c r="F23" s="9">
        <v>0</v>
      </c>
      <c r="G23" s="9">
        <f t="shared" ref="G23:G32" si="1">SUM(C23:F23)</f>
        <v>80221</v>
      </c>
    </row>
    <row r="24" spans="2:7" x14ac:dyDescent="0.3">
      <c r="B24" s="9" t="s">
        <v>149</v>
      </c>
      <c r="C24" s="9">
        <v>265</v>
      </c>
      <c r="D24" s="9">
        <v>0</v>
      </c>
      <c r="E24" s="9">
        <v>3496</v>
      </c>
      <c r="F24" s="9">
        <v>0</v>
      </c>
      <c r="G24" s="9">
        <f t="shared" si="1"/>
        <v>3761</v>
      </c>
    </row>
    <row r="25" spans="2:7" x14ac:dyDescent="0.3">
      <c r="B25" s="9" t="s">
        <v>150</v>
      </c>
      <c r="C25" s="9">
        <v>25</v>
      </c>
      <c r="D25" s="9">
        <v>0</v>
      </c>
      <c r="E25" s="9">
        <v>0</v>
      </c>
      <c r="F25" s="9">
        <v>0</v>
      </c>
      <c r="G25" s="9">
        <f t="shared" si="1"/>
        <v>25</v>
      </c>
    </row>
    <row r="26" spans="2:7" x14ac:dyDescent="0.3">
      <c r="B26" s="9" t="s">
        <v>151</v>
      </c>
      <c r="C26" s="9">
        <v>0</v>
      </c>
      <c r="D26" s="9">
        <v>0</v>
      </c>
      <c r="E26" s="9">
        <v>0</v>
      </c>
      <c r="F26" s="9">
        <v>0</v>
      </c>
      <c r="G26" s="9">
        <f t="shared" si="1"/>
        <v>0</v>
      </c>
    </row>
    <row r="27" spans="2:7" x14ac:dyDescent="0.3">
      <c r="B27" s="9" t="s">
        <v>152</v>
      </c>
      <c r="C27" s="9">
        <v>0</v>
      </c>
      <c r="D27" s="9">
        <v>0</v>
      </c>
      <c r="E27" s="9">
        <v>0</v>
      </c>
      <c r="F27" s="9">
        <v>0</v>
      </c>
      <c r="G27" s="9">
        <f t="shared" si="1"/>
        <v>0</v>
      </c>
    </row>
    <row r="28" spans="2:7" x14ac:dyDescent="0.3">
      <c r="B28" s="9" t="s">
        <v>153</v>
      </c>
      <c r="C28" s="9">
        <v>0</v>
      </c>
      <c r="D28" s="9">
        <v>0</v>
      </c>
      <c r="E28" s="9">
        <v>0</v>
      </c>
      <c r="F28" s="9">
        <v>0</v>
      </c>
      <c r="G28" s="9">
        <f t="shared" si="1"/>
        <v>0</v>
      </c>
    </row>
    <row r="29" spans="2:7" x14ac:dyDescent="0.3">
      <c r="B29" s="9" t="s">
        <v>154</v>
      </c>
      <c r="C29" s="9">
        <v>0</v>
      </c>
      <c r="D29" s="9">
        <v>0</v>
      </c>
      <c r="E29" s="9">
        <v>0</v>
      </c>
      <c r="F29" s="9">
        <v>0</v>
      </c>
      <c r="G29" s="9">
        <f t="shared" si="1"/>
        <v>0</v>
      </c>
    </row>
    <row r="30" spans="2:7" x14ac:dyDescent="0.3">
      <c r="B30" s="9" t="s">
        <v>155</v>
      </c>
      <c r="C30" s="9">
        <v>0</v>
      </c>
      <c r="D30" s="9">
        <v>0</v>
      </c>
      <c r="E30" s="9">
        <v>0</v>
      </c>
      <c r="F30" s="9">
        <v>0</v>
      </c>
      <c r="G30" s="9">
        <f t="shared" si="1"/>
        <v>0</v>
      </c>
    </row>
    <row r="31" spans="2:7" x14ac:dyDescent="0.3">
      <c r="B31" s="9" t="s">
        <v>156</v>
      </c>
      <c r="C31" s="9">
        <v>0</v>
      </c>
      <c r="D31" s="9">
        <v>0</v>
      </c>
      <c r="E31" s="9">
        <v>0</v>
      </c>
      <c r="F31" s="9">
        <v>0</v>
      </c>
      <c r="G31" s="9">
        <f t="shared" si="1"/>
        <v>0</v>
      </c>
    </row>
    <row r="32" spans="2:7" ht="15" thickBot="1" x14ac:dyDescent="0.35">
      <c r="B32" s="28" t="s">
        <v>157</v>
      </c>
      <c r="C32" s="28">
        <v>0</v>
      </c>
      <c r="D32" s="28">
        <v>0</v>
      </c>
      <c r="E32" s="28">
        <v>0</v>
      </c>
      <c r="F32" s="28">
        <v>0</v>
      </c>
      <c r="G32" s="28">
        <f t="shared" si="1"/>
        <v>0</v>
      </c>
    </row>
    <row r="33" spans="2:21" x14ac:dyDescent="0.3">
      <c r="B33" s="27" t="s">
        <v>269</v>
      </c>
      <c r="C33" s="27">
        <f>SUM(C23:C32)</f>
        <v>21408</v>
      </c>
      <c r="D33" s="27">
        <f>SUM(D23:D32)</f>
        <v>1371</v>
      </c>
      <c r="E33" s="27">
        <f>SUM(E23:E32)</f>
        <v>61228</v>
      </c>
      <c r="F33" s="27">
        <f>SUM(F23:F32)</f>
        <v>0</v>
      </c>
      <c r="G33" s="27">
        <f>SUM(G23:G32)</f>
        <v>84007</v>
      </c>
    </row>
    <row r="34" spans="2:21" x14ac:dyDescent="0.3">
      <c r="B34" s="38" t="s">
        <v>226</v>
      </c>
      <c r="C34" s="23">
        <f>C33 / G33</f>
        <v>0.25483590653159854</v>
      </c>
      <c r="D34" s="23">
        <f>D33 / G33</f>
        <v>1.6320068565714763E-2</v>
      </c>
      <c r="E34" s="23">
        <f>E33 / G33</f>
        <v>0.72884402490268663</v>
      </c>
      <c r="F34" s="23">
        <f>F33 / G33</f>
        <v>0</v>
      </c>
      <c r="G34" s="23">
        <f>G33 / G33</f>
        <v>1</v>
      </c>
    </row>
    <row r="36" spans="2:21" x14ac:dyDescent="0.3">
      <c r="B36" s="47" t="s">
        <v>306</v>
      </c>
      <c r="C36" s="48"/>
    </row>
    <row r="37" spans="2:21" x14ac:dyDescent="0.3">
      <c r="B37" s="49"/>
      <c r="C37" s="42"/>
    </row>
    <row r="38" spans="2:21" ht="15.6" x14ac:dyDescent="0.3">
      <c r="B38" s="45" t="s">
        <v>194</v>
      </c>
      <c r="C38" s="43"/>
    </row>
    <row r="39" spans="2:21" ht="15.6" x14ac:dyDescent="0.3">
      <c r="B39" s="45" t="s">
        <v>195</v>
      </c>
      <c r="C39" s="43"/>
    </row>
    <row r="40" spans="2:21" ht="15.6" x14ac:dyDescent="0.3">
      <c r="B40" s="46" t="s">
        <v>196</v>
      </c>
      <c r="C40" s="44"/>
    </row>
    <row r="42" spans="2:21" x14ac:dyDescent="0.3">
      <c r="B42" s="11" t="s">
        <v>315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</row>
    <row r="43" spans="2:21" x14ac:dyDescent="0.3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</row>
    <row r="44" spans="2:21" s="6" customFormat="1" ht="120" customHeight="1" x14ac:dyDescent="0.3">
      <c r="B44" s="20" t="s">
        <v>178</v>
      </c>
      <c r="C44" s="20" t="s">
        <v>197</v>
      </c>
      <c r="D44" s="20" t="s">
        <v>147</v>
      </c>
      <c r="E44" s="20" t="s">
        <v>121</v>
      </c>
      <c r="F44" s="20" t="s">
        <v>122</v>
      </c>
      <c r="G44" s="20" t="s">
        <v>39</v>
      </c>
      <c r="H44" s="20" t="s">
        <v>123</v>
      </c>
      <c r="I44" s="20" t="s">
        <v>177</v>
      </c>
      <c r="J44" s="20" t="s">
        <v>292</v>
      </c>
      <c r="K44" s="20" t="s">
        <v>245</v>
      </c>
      <c r="L44" s="20" t="s">
        <v>293</v>
      </c>
      <c r="M44" s="20" t="s">
        <v>247</v>
      </c>
      <c r="N44" s="20" t="s">
        <v>294</v>
      </c>
      <c r="O44" s="20" t="s">
        <v>130</v>
      </c>
      <c r="P44" s="20" t="s">
        <v>40</v>
      </c>
      <c r="Q44" s="20" t="s">
        <v>249</v>
      </c>
      <c r="R44" s="20" t="s">
        <v>251</v>
      </c>
      <c r="S44" s="20" t="s">
        <v>71</v>
      </c>
      <c r="T44" s="20" t="s">
        <v>252</v>
      </c>
      <c r="U44" s="21" t="s">
        <v>224</v>
      </c>
    </row>
    <row r="45" spans="2:21" x14ac:dyDescent="0.3">
      <c r="B45" s="9" t="s">
        <v>148</v>
      </c>
      <c r="C45" s="9">
        <v>1773</v>
      </c>
      <c r="D45" s="9">
        <v>21</v>
      </c>
      <c r="E45" s="9">
        <v>156</v>
      </c>
      <c r="F45" s="9">
        <v>0</v>
      </c>
      <c r="G45" s="9">
        <v>6578</v>
      </c>
      <c r="H45" s="9">
        <v>4569</v>
      </c>
      <c r="I45" s="9">
        <v>428</v>
      </c>
      <c r="J45" s="9">
        <v>658</v>
      </c>
      <c r="K45" s="9">
        <v>71</v>
      </c>
      <c r="L45" s="9">
        <v>114</v>
      </c>
      <c r="M45" s="9">
        <v>17860</v>
      </c>
      <c r="N45" s="9">
        <v>18276</v>
      </c>
      <c r="O45" s="9">
        <v>0</v>
      </c>
      <c r="P45" s="9">
        <v>892</v>
      </c>
      <c r="Q45" s="9">
        <v>0</v>
      </c>
      <c r="R45" s="9">
        <v>0</v>
      </c>
      <c r="S45" s="9">
        <v>0</v>
      </c>
      <c r="T45" s="9">
        <v>183</v>
      </c>
      <c r="U45" s="9">
        <f t="shared" ref="U45:U54" si="2">SUM(C45:T45)</f>
        <v>51579</v>
      </c>
    </row>
    <row r="46" spans="2:21" x14ac:dyDescent="0.3">
      <c r="B46" s="9" t="s">
        <v>149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372</v>
      </c>
      <c r="N46" s="9">
        <v>837</v>
      </c>
      <c r="O46" s="9">
        <v>0</v>
      </c>
      <c r="P46" s="9">
        <v>379</v>
      </c>
      <c r="Q46" s="9">
        <v>0</v>
      </c>
      <c r="R46" s="9">
        <v>1655</v>
      </c>
      <c r="S46" s="9">
        <v>0</v>
      </c>
      <c r="T46" s="9">
        <v>0</v>
      </c>
      <c r="U46" s="9">
        <f t="shared" si="2"/>
        <v>3243</v>
      </c>
    </row>
    <row r="47" spans="2:21" x14ac:dyDescent="0.3">
      <c r="B47" s="9" t="s">
        <v>150</v>
      </c>
      <c r="C47" s="9">
        <v>962</v>
      </c>
      <c r="D47" s="9">
        <v>224</v>
      </c>
      <c r="E47" s="9">
        <v>1874</v>
      </c>
      <c r="F47" s="9">
        <v>13</v>
      </c>
      <c r="G47" s="9">
        <v>132</v>
      </c>
      <c r="H47" s="9">
        <v>0</v>
      </c>
      <c r="I47" s="9">
        <v>128</v>
      </c>
      <c r="J47" s="9">
        <v>0</v>
      </c>
      <c r="K47" s="9">
        <v>0</v>
      </c>
      <c r="L47" s="9">
        <v>0</v>
      </c>
      <c r="M47" s="9">
        <v>44</v>
      </c>
      <c r="N47" s="9">
        <v>0</v>
      </c>
      <c r="O47" s="9">
        <v>0</v>
      </c>
      <c r="P47" s="9">
        <v>531</v>
      </c>
      <c r="Q47" s="9">
        <v>0</v>
      </c>
      <c r="R47" s="9">
        <v>0</v>
      </c>
      <c r="S47" s="9">
        <v>0</v>
      </c>
      <c r="T47" s="9">
        <v>310</v>
      </c>
      <c r="U47" s="9">
        <f t="shared" si="2"/>
        <v>4218</v>
      </c>
    </row>
    <row r="48" spans="2:21" x14ac:dyDescent="0.3">
      <c r="B48" s="9" t="s">
        <v>151</v>
      </c>
      <c r="C48" s="9">
        <v>662</v>
      </c>
      <c r="D48" s="9">
        <v>48</v>
      </c>
      <c r="E48" s="9">
        <v>1313</v>
      </c>
      <c r="F48" s="9">
        <v>15</v>
      </c>
      <c r="G48" s="9">
        <v>2051</v>
      </c>
      <c r="H48" s="9">
        <v>26</v>
      </c>
      <c r="I48" s="9">
        <v>643</v>
      </c>
      <c r="J48" s="9">
        <v>21657</v>
      </c>
      <c r="K48" s="9">
        <v>13113</v>
      </c>
      <c r="L48" s="9">
        <v>0</v>
      </c>
      <c r="M48" s="9">
        <v>82</v>
      </c>
      <c r="N48" s="9">
        <v>0</v>
      </c>
      <c r="O48" s="9">
        <v>0</v>
      </c>
      <c r="P48" s="9">
        <v>9947</v>
      </c>
      <c r="Q48" s="9">
        <v>0</v>
      </c>
      <c r="R48" s="9">
        <v>0</v>
      </c>
      <c r="S48" s="9">
        <v>2013</v>
      </c>
      <c r="T48" s="9">
        <v>66</v>
      </c>
      <c r="U48" s="9">
        <f t="shared" si="2"/>
        <v>51636</v>
      </c>
    </row>
    <row r="49" spans="2:21" x14ac:dyDescent="0.3">
      <c r="B49" s="9" t="s">
        <v>152</v>
      </c>
      <c r="C49" s="9">
        <v>489</v>
      </c>
      <c r="D49" s="9">
        <v>0</v>
      </c>
      <c r="E49" s="9">
        <v>400</v>
      </c>
      <c r="F49" s="9">
        <v>0</v>
      </c>
      <c r="G49" s="9">
        <v>1113</v>
      </c>
      <c r="H49" s="9">
        <v>600</v>
      </c>
      <c r="I49" s="9">
        <v>1586</v>
      </c>
      <c r="J49" s="9">
        <v>6385</v>
      </c>
      <c r="K49" s="9">
        <v>8041</v>
      </c>
      <c r="L49" s="9">
        <v>148</v>
      </c>
      <c r="M49" s="9">
        <v>533</v>
      </c>
      <c r="N49" s="9">
        <v>0</v>
      </c>
      <c r="O49" s="9">
        <v>0</v>
      </c>
      <c r="P49" s="9">
        <v>16685</v>
      </c>
      <c r="Q49" s="9">
        <v>0</v>
      </c>
      <c r="R49" s="9">
        <v>2715</v>
      </c>
      <c r="S49" s="9">
        <v>0</v>
      </c>
      <c r="T49" s="9">
        <v>0</v>
      </c>
      <c r="U49" s="9">
        <f t="shared" si="2"/>
        <v>38695</v>
      </c>
    </row>
    <row r="50" spans="2:21" x14ac:dyDescent="0.3">
      <c r="B50" s="9" t="s">
        <v>153</v>
      </c>
      <c r="C50" s="9">
        <v>9</v>
      </c>
      <c r="D50" s="9">
        <v>4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24</v>
      </c>
      <c r="N50" s="9">
        <v>0</v>
      </c>
      <c r="O50" s="9">
        <v>0</v>
      </c>
      <c r="P50" s="9">
        <v>683</v>
      </c>
      <c r="Q50" s="9">
        <v>0</v>
      </c>
      <c r="R50" s="9">
        <v>0</v>
      </c>
      <c r="S50" s="9">
        <v>0</v>
      </c>
      <c r="T50" s="9">
        <v>0</v>
      </c>
      <c r="U50" s="9">
        <f t="shared" si="2"/>
        <v>720</v>
      </c>
    </row>
    <row r="51" spans="2:21" x14ac:dyDescent="0.3">
      <c r="B51" s="9" t="s">
        <v>154</v>
      </c>
      <c r="C51" s="9">
        <v>26</v>
      </c>
      <c r="D51" s="9">
        <v>0</v>
      </c>
      <c r="E51" s="9">
        <v>0</v>
      </c>
      <c r="F51" s="9">
        <v>0</v>
      </c>
      <c r="G51" s="9">
        <v>157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f t="shared" si="2"/>
        <v>183</v>
      </c>
    </row>
    <row r="52" spans="2:21" x14ac:dyDescent="0.3">
      <c r="B52" s="9" t="s">
        <v>155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16</v>
      </c>
      <c r="R52" s="9">
        <v>0</v>
      </c>
      <c r="S52" s="9">
        <v>0</v>
      </c>
      <c r="T52" s="9">
        <v>112</v>
      </c>
      <c r="U52" s="9">
        <f t="shared" si="2"/>
        <v>128</v>
      </c>
    </row>
    <row r="53" spans="2:21" x14ac:dyDescent="0.3">
      <c r="B53" s="9" t="s">
        <v>156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f t="shared" si="2"/>
        <v>0</v>
      </c>
    </row>
    <row r="54" spans="2:21" ht="15" thickBot="1" x14ac:dyDescent="0.35">
      <c r="B54" s="28" t="s">
        <v>157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  <c r="N54" s="28">
        <v>0</v>
      </c>
      <c r="O54" s="28">
        <v>0</v>
      </c>
      <c r="P54" s="28">
        <v>733</v>
      </c>
      <c r="Q54" s="28">
        <v>0</v>
      </c>
      <c r="R54" s="28">
        <v>0</v>
      </c>
      <c r="S54" s="28">
        <v>0</v>
      </c>
      <c r="T54" s="28">
        <v>168</v>
      </c>
      <c r="U54" s="28">
        <f t="shared" si="2"/>
        <v>901</v>
      </c>
    </row>
    <row r="55" spans="2:21" x14ac:dyDescent="0.3">
      <c r="B55" s="27" t="s">
        <v>269</v>
      </c>
      <c r="C55" s="27">
        <f t="shared" ref="C55:U55" si="3">SUM(C45:C54)</f>
        <v>3921</v>
      </c>
      <c r="D55" s="27">
        <f t="shared" si="3"/>
        <v>297</v>
      </c>
      <c r="E55" s="27">
        <f t="shared" si="3"/>
        <v>3743</v>
      </c>
      <c r="F55" s="27">
        <f t="shared" si="3"/>
        <v>28</v>
      </c>
      <c r="G55" s="27">
        <f t="shared" si="3"/>
        <v>10031</v>
      </c>
      <c r="H55" s="27">
        <f t="shared" si="3"/>
        <v>5195</v>
      </c>
      <c r="I55" s="27">
        <f t="shared" si="3"/>
        <v>2785</v>
      </c>
      <c r="J55" s="27">
        <f t="shared" si="3"/>
        <v>28700</v>
      </c>
      <c r="K55" s="27">
        <f t="shared" si="3"/>
        <v>21225</v>
      </c>
      <c r="L55" s="27">
        <f t="shared" si="3"/>
        <v>262</v>
      </c>
      <c r="M55" s="27">
        <f t="shared" si="3"/>
        <v>18915</v>
      </c>
      <c r="N55" s="27">
        <f t="shared" si="3"/>
        <v>19113</v>
      </c>
      <c r="O55" s="27">
        <f t="shared" si="3"/>
        <v>0</v>
      </c>
      <c r="P55" s="27">
        <f t="shared" si="3"/>
        <v>29850</v>
      </c>
      <c r="Q55" s="27">
        <f t="shared" si="3"/>
        <v>16</v>
      </c>
      <c r="R55" s="27">
        <f t="shared" si="3"/>
        <v>4370</v>
      </c>
      <c r="S55" s="27">
        <f t="shared" si="3"/>
        <v>2013</v>
      </c>
      <c r="T55" s="27">
        <f t="shared" si="3"/>
        <v>839</v>
      </c>
      <c r="U55" s="27">
        <f t="shared" si="3"/>
        <v>151303</v>
      </c>
    </row>
    <row r="56" spans="2:21" x14ac:dyDescent="0.3">
      <c r="B56" s="38" t="s">
        <v>226</v>
      </c>
      <c r="C56" s="23">
        <f>C55 / U55</f>
        <v>2.591488602340998E-2</v>
      </c>
      <c r="D56" s="23">
        <f>D55 / U55</f>
        <v>1.96294852051843E-3</v>
      </c>
      <c r="E56" s="23">
        <f>E55 / U55</f>
        <v>2.4738438761954487E-2</v>
      </c>
      <c r="F56" s="23">
        <f>F55 / U55</f>
        <v>1.8505911977951528E-4</v>
      </c>
      <c r="G56" s="23">
        <f>G55 / U55</f>
        <v>6.6297429661011348E-2</v>
      </c>
      <c r="H56" s="23">
        <f>H55 / U55</f>
        <v>3.4335075973377926E-2</v>
      </c>
      <c r="I56" s="23">
        <f>I55 / U55</f>
        <v>1.8406773163783929E-2</v>
      </c>
      <c r="J56" s="23">
        <f>J55 / U55</f>
        <v>0.18968559777400315</v>
      </c>
      <c r="K56" s="23">
        <f>K55 / U55</f>
        <v>0.14028142204715041</v>
      </c>
      <c r="L56" s="23">
        <f>L55 / U55</f>
        <v>1.7316246207940357E-3</v>
      </c>
      <c r="M56" s="23">
        <f>M55 / U55</f>
        <v>0.12501404466534041</v>
      </c>
      <c r="N56" s="23">
        <f>N55 / U55</f>
        <v>0.1263226770123527</v>
      </c>
      <c r="O56" s="23">
        <f>O55 / U55</f>
        <v>0</v>
      </c>
      <c r="P56" s="23">
        <f>P55 / U55</f>
        <v>0.19728624019351895</v>
      </c>
      <c r="Q56" s="23">
        <f>Q55 / U55</f>
        <v>1.057480684454373E-4</v>
      </c>
      <c r="R56" s="23">
        <f>R55 / U55</f>
        <v>2.8882441194160061E-2</v>
      </c>
      <c r="S56" s="23">
        <f>S55 / U55</f>
        <v>1.330442886129158E-2</v>
      </c>
      <c r="T56" s="23">
        <f>T55 / U55</f>
        <v>5.5451643391076187E-3</v>
      </c>
      <c r="U56" s="23">
        <f>U55 / U55</f>
        <v>1</v>
      </c>
    </row>
    <row r="58" spans="2:21" x14ac:dyDescent="0.3">
      <c r="B58" s="11" t="s">
        <v>316</v>
      </c>
      <c r="C58" s="12"/>
      <c r="D58" s="12"/>
      <c r="E58" s="12"/>
      <c r="F58" s="12"/>
    </row>
    <row r="59" spans="2:21" x14ac:dyDescent="0.3">
      <c r="B59" s="12"/>
      <c r="C59" s="12"/>
      <c r="D59" s="12"/>
      <c r="E59" s="12"/>
      <c r="F59" s="12"/>
    </row>
    <row r="60" spans="2:21" ht="30" customHeight="1" x14ac:dyDescent="0.3">
      <c r="B60" s="20" t="s">
        <v>178</v>
      </c>
      <c r="C60" s="20" t="s">
        <v>134</v>
      </c>
      <c r="D60" s="20" t="s">
        <v>198</v>
      </c>
      <c r="E60" s="20" t="s">
        <v>136</v>
      </c>
      <c r="F60" s="21" t="s">
        <v>224</v>
      </c>
    </row>
    <row r="61" spans="2:21" x14ac:dyDescent="0.3">
      <c r="B61" s="9" t="s">
        <v>148</v>
      </c>
      <c r="C61" s="9">
        <v>3917</v>
      </c>
      <c r="D61" s="9">
        <v>1921</v>
      </c>
      <c r="E61" s="9">
        <v>740</v>
      </c>
      <c r="F61" s="9">
        <f t="shared" ref="F61:F70" si="4">SUM(C61:E61)</f>
        <v>6578</v>
      </c>
    </row>
    <row r="62" spans="2:21" x14ac:dyDescent="0.3">
      <c r="B62" s="9" t="s">
        <v>149</v>
      </c>
      <c r="C62" s="9">
        <v>0</v>
      </c>
      <c r="D62" s="9">
        <v>0</v>
      </c>
      <c r="E62" s="9">
        <v>0</v>
      </c>
      <c r="F62" s="9">
        <f t="shared" si="4"/>
        <v>0</v>
      </c>
    </row>
    <row r="63" spans="2:21" x14ac:dyDescent="0.3">
      <c r="B63" s="9" t="s">
        <v>150</v>
      </c>
      <c r="C63" s="9">
        <v>92</v>
      </c>
      <c r="D63" s="9">
        <v>40</v>
      </c>
      <c r="E63" s="9">
        <v>0</v>
      </c>
      <c r="F63" s="9">
        <f t="shared" si="4"/>
        <v>132</v>
      </c>
    </row>
    <row r="64" spans="2:21" x14ac:dyDescent="0.3">
      <c r="B64" s="9" t="s">
        <v>151</v>
      </c>
      <c r="C64" s="9">
        <v>849</v>
      </c>
      <c r="D64" s="9">
        <v>592</v>
      </c>
      <c r="E64" s="9">
        <v>610</v>
      </c>
      <c r="F64" s="9">
        <f t="shared" si="4"/>
        <v>2051</v>
      </c>
    </row>
    <row r="65" spans="2:6" x14ac:dyDescent="0.3">
      <c r="B65" s="9" t="s">
        <v>152</v>
      </c>
      <c r="C65" s="9">
        <v>913</v>
      </c>
      <c r="D65" s="9">
        <v>200</v>
      </c>
      <c r="E65" s="9">
        <v>0</v>
      </c>
      <c r="F65" s="9">
        <f t="shared" si="4"/>
        <v>1113</v>
      </c>
    </row>
    <row r="66" spans="2:6" x14ac:dyDescent="0.3">
      <c r="B66" s="9" t="s">
        <v>153</v>
      </c>
      <c r="C66" s="9">
        <v>0</v>
      </c>
      <c r="D66" s="9">
        <v>0</v>
      </c>
      <c r="E66" s="9">
        <v>0</v>
      </c>
      <c r="F66" s="9">
        <f t="shared" si="4"/>
        <v>0</v>
      </c>
    </row>
    <row r="67" spans="2:6" x14ac:dyDescent="0.3">
      <c r="B67" s="9" t="s">
        <v>154</v>
      </c>
      <c r="C67" s="9">
        <v>74</v>
      </c>
      <c r="D67" s="9">
        <v>83</v>
      </c>
      <c r="E67" s="9">
        <v>0</v>
      </c>
      <c r="F67" s="9">
        <f t="shared" si="4"/>
        <v>157</v>
      </c>
    </row>
    <row r="68" spans="2:6" x14ac:dyDescent="0.3">
      <c r="B68" s="9" t="s">
        <v>155</v>
      </c>
      <c r="C68" s="9">
        <v>0</v>
      </c>
      <c r="D68" s="9">
        <v>0</v>
      </c>
      <c r="E68" s="9">
        <v>0</v>
      </c>
      <c r="F68" s="9">
        <f t="shared" si="4"/>
        <v>0</v>
      </c>
    </row>
    <row r="69" spans="2:6" x14ac:dyDescent="0.3">
      <c r="B69" s="9" t="s">
        <v>156</v>
      </c>
      <c r="C69" s="9">
        <v>0</v>
      </c>
      <c r="D69" s="9">
        <v>0</v>
      </c>
      <c r="E69" s="9">
        <v>0</v>
      </c>
      <c r="F69" s="9">
        <f t="shared" si="4"/>
        <v>0</v>
      </c>
    </row>
    <row r="70" spans="2:6" ht="15" thickBot="1" x14ac:dyDescent="0.35">
      <c r="B70" s="28" t="s">
        <v>157</v>
      </c>
      <c r="C70" s="28">
        <v>0</v>
      </c>
      <c r="D70" s="28">
        <v>0</v>
      </c>
      <c r="E70" s="28">
        <v>0</v>
      </c>
      <c r="F70" s="28">
        <f t="shared" si="4"/>
        <v>0</v>
      </c>
    </row>
    <row r="71" spans="2:6" x14ac:dyDescent="0.3">
      <c r="B71" s="27" t="s">
        <v>269</v>
      </c>
      <c r="C71" s="27">
        <f>SUM(C61:C70)</f>
        <v>5845</v>
      </c>
      <c r="D71" s="27">
        <f>SUM(D61:D70)</f>
        <v>2836</v>
      </c>
      <c r="E71" s="27">
        <f>SUM(E61:E70)</f>
        <v>1350</v>
      </c>
      <c r="F71" s="27">
        <f>SUM(F61:F70)</f>
        <v>10031</v>
      </c>
    </row>
    <row r="72" spans="2:6" x14ac:dyDescent="0.3">
      <c r="B72" s="38" t="s">
        <v>226</v>
      </c>
      <c r="C72" s="23">
        <f>C71 / F71</f>
        <v>0.58269364968597348</v>
      </c>
      <c r="D72" s="23">
        <f>D71 / F71</f>
        <v>0.28272355697338253</v>
      </c>
      <c r="E72" s="23">
        <f>E71 / F71</f>
        <v>0.13458279334064399</v>
      </c>
      <c r="F72" s="23">
        <f>F71 / F71</f>
        <v>1</v>
      </c>
    </row>
    <row r="74" spans="2:6" x14ac:dyDescent="0.3">
      <c r="B74" s="11" t="s">
        <v>317</v>
      </c>
      <c r="C74" s="12"/>
      <c r="D74" s="12"/>
      <c r="E74" s="12"/>
      <c r="F74" s="12"/>
    </row>
    <row r="75" spans="2:6" x14ac:dyDescent="0.3">
      <c r="B75" s="12"/>
      <c r="C75" s="12"/>
      <c r="D75" s="12"/>
      <c r="E75" s="12"/>
      <c r="F75" s="12"/>
    </row>
    <row r="76" spans="2:6" ht="45" customHeight="1" x14ac:dyDescent="0.3">
      <c r="B76" s="20" t="s">
        <v>178</v>
      </c>
      <c r="C76" s="20" t="s">
        <v>72</v>
      </c>
      <c r="D76" s="20" t="s">
        <v>199</v>
      </c>
      <c r="E76" s="20" t="s">
        <v>200</v>
      </c>
      <c r="F76" s="21" t="s">
        <v>224</v>
      </c>
    </row>
    <row r="77" spans="2:6" x14ac:dyDescent="0.3">
      <c r="B77" s="9" t="s">
        <v>148</v>
      </c>
      <c r="C77" s="9">
        <v>8</v>
      </c>
      <c r="D77" s="9">
        <v>0</v>
      </c>
      <c r="E77" s="9">
        <v>1765</v>
      </c>
      <c r="F77" s="9">
        <f t="shared" ref="F77:F86" si="5">SUM(C77:E77)</f>
        <v>1773</v>
      </c>
    </row>
    <row r="78" spans="2:6" x14ac:dyDescent="0.3">
      <c r="B78" s="9" t="s">
        <v>149</v>
      </c>
      <c r="C78" s="9">
        <v>0</v>
      </c>
      <c r="D78" s="9">
        <v>0</v>
      </c>
      <c r="E78" s="9">
        <v>0</v>
      </c>
      <c r="F78" s="9">
        <f t="shared" si="5"/>
        <v>0</v>
      </c>
    </row>
    <row r="79" spans="2:6" x14ac:dyDescent="0.3">
      <c r="B79" s="9" t="s">
        <v>150</v>
      </c>
      <c r="C79" s="9">
        <v>0</v>
      </c>
      <c r="D79" s="9">
        <v>240</v>
      </c>
      <c r="E79" s="9">
        <v>722</v>
      </c>
      <c r="F79" s="9">
        <f t="shared" si="5"/>
        <v>962</v>
      </c>
    </row>
    <row r="80" spans="2:6" x14ac:dyDescent="0.3">
      <c r="B80" s="9" t="s">
        <v>151</v>
      </c>
      <c r="C80" s="9">
        <v>447</v>
      </c>
      <c r="D80" s="9">
        <v>0</v>
      </c>
      <c r="E80" s="9">
        <v>215</v>
      </c>
      <c r="F80" s="9">
        <f t="shared" si="5"/>
        <v>662</v>
      </c>
    </row>
    <row r="81" spans="2:9" x14ac:dyDescent="0.3">
      <c r="B81" s="9" t="s">
        <v>152</v>
      </c>
      <c r="C81" s="9">
        <v>489</v>
      </c>
      <c r="D81" s="9">
        <v>0</v>
      </c>
      <c r="E81" s="9">
        <v>0</v>
      </c>
      <c r="F81" s="9">
        <f t="shared" si="5"/>
        <v>489</v>
      </c>
    </row>
    <row r="82" spans="2:9" x14ac:dyDescent="0.3">
      <c r="B82" s="9" t="s">
        <v>153</v>
      </c>
      <c r="C82" s="9">
        <v>0</v>
      </c>
      <c r="D82" s="9">
        <v>0</v>
      </c>
      <c r="E82" s="9">
        <v>9</v>
      </c>
      <c r="F82" s="9">
        <f t="shared" si="5"/>
        <v>9</v>
      </c>
    </row>
    <row r="83" spans="2:9" x14ac:dyDescent="0.3">
      <c r="B83" s="9" t="s">
        <v>154</v>
      </c>
      <c r="C83" s="9">
        <v>0</v>
      </c>
      <c r="D83" s="9">
        <v>8</v>
      </c>
      <c r="E83" s="9">
        <v>18</v>
      </c>
      <c r="F83" s="9">
        <f t="shared" si="5"/>
        <v>26</v>
      </c>
    </row>
    <row r="84" spans="2:9" x14ac:dyDescent="0.3">
      <c r="B84" s="9" t="s">
        <v>155</v>
      </c>
      <c r="C84" s="9">
        <v>0</v>
      </c>
      <c r="D84" s="9">
        <v>0</v>
      </c>
      <c r="E84" s="9">
        <v>0</v>
      </c>
      <c r="F84" s="9">
        <f t="shared" si="5"/>
        <v>0</v>
      </c>
    </row>
    <row r="85" spans="2:9" x14ac:dyDescent="0.3">
      <c r="B85" s="9" t="s">
        <v>156</v>
      </c>
      <c r="C85" s="9">
        <v>0</v>
      </c>
      <c r="D85" s="9">
        <v>0</v>
      </c>
      <c r="E85" s="9">
        <v>0</v>
      </c>
      <c r="F85" s="9">
        <f t="shared" si="5"/>
        <v>0</v>
      </c>
    </row>
    <row r="86" spans="2:9" ht="15" thickBot="1" x14ac:dyDescent="0.35">
      <c r="B86" s="28" t="s">
        <v>157</v>
      </c>
      <c r="C86" s="28">
        <v>0</v>
      </c>
      <c r="D86" s="28">
        <v>0</v>
      </c>
      <c r="E86" s="28">
        <v>0</v>
      </c>
      <c r="F86" s="28">
        <f t="shared" si="5"/>
        <v>0</v>
      </c>
    </row>
    <row r="87" spans="2:9" x14ac:dyDescent="0.3">
      <c r="B87" s="27" t="s">
        <v>269</v>
      </c>
      <c r="C87" s="27">
        <f>SUM(C77:C86)</f>
        <v>944</v>
      </c>
      <c r="D87" s="27">
        <f>SUM(D77:D86)</f>
        <v>248</v>
      </c>
      <c r="E87" s="27">
        <f>SUM(E77:E86)</f>
        <v>2729</v>
      </c>
      <c r="F87" s="27">
        <f>SUM(F77:F86)</f>
        <v>3921</v>
      </c>
    </row>
    <row r="88" spans="2:9" x14ac:dyDescent="0.3">
      <c r="B88" s="38" t="s">
        <v>226</v>
      </c>
      <c r="C88" s="23">
        <f>C87 / F87</f>
        <v>0.24075490946187197</v>
      </c>
      <c r="D88" s="23">
        <f>D87 / F87</f>
        <v>6.3249171129813819E-2</v>
      </c>
      <c r="E88" s="23">
        <f>E87 / F87</f>
        <v>0.69599591940831418</v>
      </c>
      <c r="F88" s="23">
        <f>F87 / F87</f>
        <v>1</v>
      </c>
    </row>
    <row r="90" spans="2:9" x14ac:dyDescent="0.3">
      <c r="B90" s="11" t="s">
        <v>318</v>
      </c>
      <c r="C90" s="12"/>
      <c r="D90" s="12"/>
      <c r="E90" s="12"/>
      <c r="F90" s="12"/>
      <c r="G90" s="12"/>
      <c r="H90" s="12"/>
      <c r="I90" s="12"/>
    </row>
    <row r="91" spans="2:9" x14ac:dyDescent="0.3">
      <c r="B91" s="12"/>
      <c r="C91" s="12"/>
      <c r="D91" s="12"/>
      <c r="E91" s="12"/>
      <c r="F91" s="12"/>
      <c r="G91" s="12"/>
      <c r="H91" s="12"/>
      <c r="I91" s="12"/>
    </row>
    <row r="92" spans="2:9" s="6" customFormat="1" ht="45" customHeight="1" x14ac:dyDescent="0.3">
      <c r="B92" s="20" t="s">
        <v>178</v>
      </c>
      <c r="C92" s="20" t="s">
        <v>137</v>
      </c>
      <c r="D92" s="20" t="s">
        <v>138</v>
      </c>
      <c r="E92" s="20" t="s">
        <v>139</v>
      </c>
      <c r="F92" s="20" t="s">
        <v>140</v>
      </c>
      <c r="G92" s="20" t="s">
        <v>141</v>
      </c>
      <c r="H92" s="20" t="s">
        <v>142</v>
      </c>
      <c r="I92" s="21" t="s">
        <v>224</v>
      </c>
    </row>
    <row r="93" spans="2:9" x14ac:dyDescent="0.3">
      <c r="B93" s="9" t="s">
        <v>148</v>
      </c>
      <c r="C93" s="9">
        <v>0</v>
      </c>
      <c r="D93" s="9">
        <v>508</v>
      </c>
      <c r="E93" s="9">
        <v>0</v>
      </c>
      <c r="F93" s="9">
        <v>0</v>
      </c>
      <c r="G93" s="9">
        <v>384</v>
      </c>
      <c r="H93" s="9">
        <v>0</v>
      </c>
      <c r="I93" s="9">
        <f t="shared" ref="I93:I102" si="6">SUM(C93:H93)</f>
        <v>892</v>
      </c>
    </row>
    <row r="94" spans="2:9" x14ac:dyDescent="0.3">
      <c r="B94" s="9" t="s">
        <v>149</v>
      </c>
      <c r="C94" s="9">
        <v>60</v>
      </c>
      <c r="D94" s="9">
        <v>0</v>
      </c>
      <c r="E94" s="9">
        <v>0</v>
      </c>
      <c r="F94" s="9">
        <v>0</v>
      </c>
      <c r="G94" s="9">
        <v>319</v>
      </c>
      <c r="H94" s="9">
        <v>0</v>
      </c>
      <c r="I94" s="9">
        <f t="shared" si="6"/>
        <v>379</v>
      </c>
    </row>
    <row r="95" spans="2:9" x14ac:dyDescent="0.3">
      <c r="B95" s="9" t="s">
        <v>150</v>
      </c>
      <c r="C95" s="9">
        <v>14</v>
      </c>
      <c r="D95" s="9">
        <v>357</v>
      </c>
      <c r="E95" s="9">
        <v>0</v>
      </c>
      <c r="F95" s="9">
        <v>0</v>
      </c>
      <c r="G95" s="9">
        <v>160</v>
      </c>
      <c r="H95" s="9">
        <v>0</v>
      </c>
      <c r="I95" s="9">
        <f t="shared" si="6"/>
        <v>531</v>
      </c>
    </row>
    <row r="96" spans="2:9" x14ac:dyDescent="0.3">
      <c r="B96" s="9" t="s">
        <v>151</v>
      </c>
      <c r="C96" s="9">
        <v>779</v>
      </c>
      <c r="D96" s="9">
        <v>8036</v>
      </c>
      <c r="E96" s="9">
        <v>0</v>
      </c>
      <c r="F96" s="9">
        <v>96</v>
      </c>
      <c r="G96" s="9">
        <v>636</v>
      </c>
      <c r="H96" s="9">
        <v>400</v>
      </c>
      <c r="I96" s="9">
        <f t="shared" si="6"/>
        <v>9947</v>
      </c>
    </row>
    <row r="97" spans="2:9" x14ac:dyDescent="0.3">
      <c r="B97" s="9" t="s">
        <v>152</v>
      </c>
      <c r="C97" s="9">
        <v>1590</v>
      </c>
      <c r="D97" s="9">
        <v>4939</v>
      </c>
      <c r="E97" s="9">
        <v>0</v>
      </c>
      <c r="F97" s="9">
        <v>8198</v>
      </c>
      <c r="G97" s="9">
        <v>1270</v>
      </c>
      <c r="H97" s="9">
        <v>688</v>
      </c>
      <c r="I97" s="9">
        <f t="shared" si="6"/>
        <v>16685</v>
      </c>
    </row>
    <row r="98" spans="2:9" x14ac:dyDescent="0.3">
      <c r="B98" s="9" t="s">
        <v>153</v>
      </c>
      <c r="C98" s="9">
        <v>133</v>
      </c>
      <c r="D98" s="9">
        <v>74</v>
      </c>
      <c r="E98" s="9">
        <v>0</v>
      </c>
      <c r="F98" s="9">
        <v>476</v>
      </c>
      <c r="G98" s="9">
        <v>0</v>
      </c>
      <c r="H98" s="9">
        <v>0</v>
      </c>
      <c r="I98" s="9">
        <f t="shared" si="6"/>
        <v>683</v>
      </c>
    </row>
    <row r="99" spans="2:9" x14ac:dyDescent="0.3">
      <c r="B99" s="9" t="s">
        <v>154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f t="shared" si="6"/>
        <v>0</v>
      </c>
    </row>
    <row r="100" spans="2:9" x14ac:dyDescent="0.3">
      <c r="B100" s="9" t="s">
        <v>155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f t="shared" si="6"/>
        <v>0</v>
      </c>
    </row>
    <row r="101" spans="2:9" x14ac:dyDescent="0.3">
      <c r="B101" s="9" t="s">
        <v>156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f t="shared" si="6"/>
        <v>0</v>
      </c>
    </row>
    <row r="102" spans="2:9" ht="15" thickBot="1" x14ac:dyDescent="0.35">
      <c r="B102" s="28" t="s">
        <v>157</v>
      </c>
      <c r="C102" s="28">
        <v>720</v>
      </c>
      <c r="D102" s="28">
        <v>0</v>
      </c>
      <c r="E102" s="28">
        <v>0</v>
      </c>
      <c r="F102" s="28">
        <v>0</v>
      </c>
      <c r="G102" s="28">
        <v>0</v>
      </c>
      <c r="H102" s="28">
        <v>13</v>
      </c>
      <c r="I102" s="28">
        <f t="shared" si="6"/>
        <v>733</v>
      </c>
    </row>
    <row r="103" spans="2:9" x14ac:dyDescent="0.3">
      <c r="B103" s="27" t="s">
        <v>269</v>
      </c>
      <c r="C103" s="27">
        <f t="shared" ref="C103:I103" si="7">SUM(C93:C102)</f>
        <v>3296</v>
      </c>
      <c r="D103" s="27">
        <f t="shared" si="7"/>
        <v>13914</v>
      </c>
      <c r="E103" s="27">
        <f t="shared" si="7"/>
        <v>0</v>
      </c>
      <c r="F103" s="27">
        <f t="shared" si="7"/>
        <v>8770</v>
      </c>
      <c r="G103" s="27">
        <f t="shared" si="7"/>
        <v>2769</v>
      </c>
      <c r="H103" s="27">
        <f t="shared" si="7"/>
        <v>1101</v>
      </c>
      <c r="I103" s="27">
        <f t="shared" si="7"/>
        <v>29850</v>
      </c>
    </row>
    <row r="104" spans="2:9" x14ac:dyDescent="0.3">
      <c r="B104" s="38" t="s">
        <v>226</v>
      </c>
      <c r="C104" s="23">
        <f>C103 / I103</f>
        <v>0.11041876046901172</v>
      </c>
      <c r="D104" s="23">
        <f>D103 / I103</f>
        <v>0.46613065326633168</v>
      </c>
      <c r="E104" s="23">
        <f>E103 / I103</f>
        <v>0</v>
      </c>
      <c r="F104" s="23">
        <f>F103 / I103</f>
        <v>0.29380234505862646</v>
      </c>
      <c r="G104" s="23">
        <f>G103 / I103</f>
        <v>9.2763819095477387E-2</v>
      </c>
      <c r="H104" s="23">
        <f>H103 / I103</f>
        <v>3.6884422110552761E-2</v>
      </c>
      <c r="I104" s="23">
        <f>I103 / I103</f>
        <v>1</v>
      </c>
    </row>
    <row r="106" spans="2:9" ht="15.6" x14ac:dyDescent="0.3">
      <c r="B106" s="50" t="s">
        <v>201</v>
      </c>
      <c r="C106" s="51"/>
      <c r="D106" s="51"/>
      <c r="E106" s="51"/>
      <c r="F106" s="51"/>
    </row>
    <row r="108" spans="2:9" x14ac:dyDescent="0.3">
      <c r="B108" s="11" t="s">
        <v>307</v>
      </c>
      <c r="C108" s="12"/>
      <c r="D108" s="12"/>
      <c r="E108" s="12"/>
      <c r="F108" s="12"/>
    </row>
    <row r="109" spans="2:9" x14ac:dyDescent="0.3">
      <c r="B109" s="12"/>
      <c r="C109" s="12"/>
      <c r="D109" s="12"/>
      <c r="E109" s="12"/>
      <c r="F109" s="12"/>
    </row>
    <row r="110" spans="2:9" s="6" customFormat="1" ht="100.8" x14ac:dyDescent="0.3">
      <c r="B110" s="20" t="s">
        <v>202</v>
      </c>
      <c r="C110" s="20" t="s">
        <v>240</v>
      </c>
      <c r="D110" s="20" t="s">
        <v>239</v>
      </c>
      <c r="E110" s="20" t="s">
        <v>37</v>
      </c>
      <c r="F110" s="21" t="s">
        <v>224</v>
      </c>
    </row>
    <row r="111" spans="2:9" x14ac:dyDescent="0.3">
      <c r="B111" s="9" t="s">
        <v>158</v>
      </c>
      <c r="C111" s="9">
        <v>79826</v>
      </c>
      <c r="D111" s="9">
        <v>11812</v>
      </c>
      <c r="E111" s="9">
        <v>148892</v>
      </c>
      <c r="F111" s="9">
        <f>SUM(C111:E111)</f>
        <v>240530</v>
      </c>
    </row>
    <row r="112" spans="2:9" x14ac:dyDescent="0.3">
      <c r="B112" s="9" t="s">
        <v>159</v>
      </c>
      <c r="C112" s="9">
        <v>487</v>
      </c>
      <c r="D112" s="9">
        <v>223</v>
      </c>
      <c r="E112" s="9">
        <v>1072</v>
      </c>
      <c r="F112" s="9">
        <f>SUM(C112:E112)</f>
        <v>1782</v>
      </c>
    </row>
    <row r="113" spans="2:21" ht="15" thickBot="1" x14ac:dyDescent="0.35">
      <c r="B113" s="28" t="s">
        <v>160</v>
      </c>
      <c r="C113" s="28">
        <v>3694</v>
      </c>
      <c r="D113" s="28">
        <v>0</v>
      </c>
      <c r="E113" s="28">
        <v>1339</v>
      </c>
      <c r="F113" s="28">
        <f>SUM(C113:E113)</f>
        <v>5033</v>
      </c>
    </row>
    <row r="114" spans="2:21" x14ac:dyDescent="0.3">
      <c r="B114" s="27" t="s">
        <v>269</v>
      </c>
      <c r="C114" s="27">
        <f>SUM(C111:C113)</f>
        <v>84007</v>
      </c>
      <c r="D114" s="27">
        <f>SUM(D111:D113)</f>
        <v>12035</v>
      </c>
      <c r="E114" s="27">
        <f>SUM(E111:E113)</f>
        <v>151303</v>
      </c>
      <c r="F114" s="27">
        <f>SUM(F111:F113)</f>
        <v>247345</v>
      </c>
    </row>
    <row r="115" spans="2:21" x14ac:dyDescent="0.3">
      <c r="B115" s="38" t="s">
        <v>226</v>
      </c>
      <c r="C115" s="23">
        <f>C114 / F114</f>
        <v>0.33963492288099617</v>
      </c>
      <c r="D115" s="23">
        <f>D114 / F114</f>
        <v>4.8656734520608869E-2</v>
      </c>
      <c r="E115" s="23">
        <f>E114 / F114</f>
        <v>0.61170834259839491</v>
      </c>
      <c r="F115" s="23">
        <f>F114 / F114</f>
        <v>1</v>
      </c>
    </row>
    <row r="117" spans="2:21" x14ac:dyDescent="0.3">
      <c r="B117" s="11" t="s">
        <v>295</v>
      </c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</row>
    <row r="118" spans="2:21" x14ac:dyDescent="0.3"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</row>
    <row r="119" spans="2:21" s="6" customFormat="1" ht="120" customHeight="1" x14ac:dyDescent="0.3">
      <c r="B119" s="20" t="s">
        <v>202</v>
      </c>
      <c r="C119" s="20" t="s">
        <v>197</v>
      </c>
      <c r="D119" s="20" t="s">
        <v>147</v>
      </c>
      <c r="E119" s="20" t="s">
        <v>121</v>
      </c>
      <c r="F119" s="20" t="s">
        <v>122</v>
      </c>
      <c r="G119" s="20" t="s">
        <v>39</v>
      </c>
      <c r="H119" s="20" t="s">
        <v>123</v>
      </c>
      <c r="I119" s="20" t="s">
        <v>177</v>
      </c>
      <c r="J119" s="20" t="s">
        <v>292</v>
      </c>
      <c r="K119" s="20" t="s">
        <v>245</v>
      </c>
      <c r="L119" s="20" t="s">
        <v>293</v>
      </c>
      <c r="M119" s="20" t="s">
        <v>246</v>
      </c>
      <c r="N119" s="20" t="s">
        <v>296</v>
      </c>
      <c r="O119" s="20" t="s">
        <v>130</v>
      </c>
      <c r="P119" s="20" t="s">
        <v>40</v>
      </c>
      <c r="Q119" s="20" t="s">
        <v>131</v>
      </c>
      <c r="R119" s="20" t="s">
        <v>132</v>
      </c>
      <c r="S119" s="20" t="s">
        <v>71</v>
      </c>
      <c r="T119" s="20" t="s">
        <v>133</v>
      </c>
      <c r="U119" s="21" t="s">
        <v>224</v>
      </c>
    </row>
    <row r="120" spans="2:21" x14ac:dyDescent="0.3">
      <c r="B120" s="9" t="s">
        <v>158</v>
      </c>
      <c r="C120" s="9">
        <v>3887</v>
      </c>
      <c r="D120" s="9">
        <v>265</v>
      </c>
      <c r="E120" s="9">
        <v>3149</v>
      </c>
      <c r="F120" s="9">
        <v>16</v>
      </c>
      <c r="G120" s="9">
        <v>10007</v>
      </c>
      <c r="H120" s="9">
        <v>5060</v>
      </c>
      <c r="I120" s="9">
        <v>2755</v>
      </c>
      <c r="J120" s="9">
        <v>28145</v>
      </c>
      <c r="K120" s="9">
        <v>21225</v>
      </c>
      <c r="L120" s="9">
        <v>262</v>
      </c>
      <c r="M120" s="9">
        <v>18909</v>
      </c>
      <c r="N120" s="9">
        <v>19113</v>
      </c>
      <c r="O120" s="9">
        <v>0</v>
      </c>
      <c r="P120" s="9">
        <v>28883</v>
      </c>
      <c r="Q120" s="9">
        <v>16</v>
      </c>
      <c r="R120" s="9">
        <v>4370</v>
      </c>
      <c r="S120" s="9">
        <v>2013</v>
      </c>
      <c r="T120" s="9">
        <v>817</v>
      </c>
      <c r="U120" s="9">
        <f>SUM(C120:T120)</f>
        <v>148892</v>
      </c>
    </row>
    <row r="121" spans="2:21" x14ac:dyDescent="0.3">
      <c r="B121" s="9" t="s">
        <v>159</v>
      </c>
      <c r="C121" s="9">
        <v>8</v>
      </c>
      <c r="D121" s="9">
        <v>0</v>
      </c>
      <c r="E121" s="9">
        <v>0</v>
      </c>
      <c r="F121" s="9">
        <v>0</v>
      </c>
      <c r="G121" s="9">
        <v>0</v>
      </c>
      <c r="H121" s="9">
        <v>135</v>
      </c>
      <c r="I121" s="9">
        <v>0</v>
      </c>
      <c r="J121" s="9">
        <v>0</v>
      </c>
      <c r="K121" s="9">
        <v>0</v>
      </c>
      <c r="L121" s="9">
        <v>0</v>
      </c>
      <c r="M121" s="9">
        <v>6</v>
      </c>
      <c r="N121" s="9">
        <v>0</v>
      </c>
      <c r="O121" s="9">
        <v>0</v>
      </c>
      <c r="P121" s="9">
        <v>923</v>
      </c>
      <c r="Q121" s="9">
        <v>0</v>
      </c>
      <c r="R121" s="9">
        <v>0</v>
      </c>
      <c r="S121" s="9">
        <v>0</v>
      </c>
      <c r="T121" s="9">
        <v>0</v>
      </c>
      <c r="U121" s="9">
        <f t="shared" ref="U121:U122" si="8">SUM(C121:T121)</f>
        <v>1072</v>
      </c>
    </row>
    <row r="122" spans="2:21" ht="15" thickBot="1" x14ac:dyDescent="0.35">
      <c r="B122" s="28" t="s">
        <v>160</v>
      </c>
      <c r="C122" s="28">
        <v>26</v>
      </c>
      <c r="D122" s="28">
        <v>32</v>
      </c>
      <c r="E122" s="28">
        <v>594</v>
      </c>
      <c r="F122" s="28">
        <v>12</v>
      </c>
      <c r="G122" s="28">
        <v>24</v>
      </c>
      <c r="H122" s="28">
        <v>0</v>
      </c>
      <c r="I122" s="28">
        <v>30</v>
      </c>
      <c r="J122" s="28">
        <v>555</v>
      </c>
      <c r="K122" s="28">
        <v>0</v>
      </c>
      <c r="L122" s="28">
        <v>0</v>
      </c>
      <c r="M122" s="28">
        <v>0</v>
      </c>
      <c r="N122" s="28">
        <v>0</v>
      </c>
      <c r="O122" s="28">
        <v>0</v>
      </c>
      <c r="P122" s="28">
        <v>44</v>
      </c>
      <c r="Q122" s="28">
        <v>0</v>
      </c>
      <c r="R122" s="28">
        <v>0</v>
      </c>
      <c r="S122" s="28">
        <v>0</v>
      </c>
      <c r="T122" s="28">
        <v>22</v>
      </c>
      <c r="U122" s="28">
        <f t="shared" si="8"/>
        <v>1339</v>
      </c>
    </row>
    <row r="123" spans="2:21" x14ac:dyDescent="0.3">
      <c r="B123" s="27" t="s">
        <v>269</v>
      </c>
      <c r="C123" s="27">
        <f t="shared" ref="C123:U123" si="9">SUM(C120:C122)</f>
        <v>3921</v>
      </c>
      <c r="D123" s="27">
        <f t="shared" si="9"/>
        <v>297</v>
      </c>
      <c r="E123" s="27">
        <f t="shared" si="9"/>
        <v>3743</v>
      </c>
      <c r="F123" s="27">
        <f t="shared" si="9"/>
        <v>28</v>
      </c>
      <c r="G123" s="27">
        <f t="shared" si="9"/>
        <v>10031</v>
      </c>
      <c r="H123" s="27">
        <f t="shared" si="9"/>
        <v>5195</v>
      </c>
      <c r="I123" s="27">
        <f t="shared" si="9"/>
        <v>2785</v>
      </c>
      <c r="J123" s="27">
        <f t="shared" si="9"/>
        <v>28700</v>
      </c>
      <c r="K123" s="27">
        <f t="shared" si="9"/>
        <v>21225</v>
      </c>
      <c r="L123" s="27">
        <f t="shared" si="9"/>
        <v>262</v>
      </c>
      <c r="M123" s="27">
        <f t="shared" si="9"/>
        <v>18915</v>
      </c>
      <c r="N123" s="27">
        <f t="shared" si="9"/>
        <v>19113</v>
      </c>
      <c r="O123" s="27">
        <f t="shared" si="9"/>
        <v>0</v>
      </c>
      <c r="P123" s="27">
        <f t="shared" si="9"/>
        <v>29850</v>
      </c>
      <c r="Q123" s="27">
        <f t="shared" si="9"/>
        <v>16</v>
      </c>
      <c r="R123" s="27">
        <f t="shared" si="9"/>
        <v>4370</v>
      </c>
      <c r="S123" s="27">
        <f t="shared" si="9"/>
        <v>2013</v>
      </c>
      <c r="T123" s="27">
        <f t="shared" si="9"/>
        <v>839</v>
      </c>
      <c r="U123" s="27">
        <f t="shared" si="9"/>
        <v>151303</v>
      </c>
    </row>
    <row r="124" spans="2:21" x14ac:dyDescent="0.3">
      <c r="B124" s="38" t="s">
        <v>226</v>
      </c>
      <c r="C124" s="23">
        <f>C123 / U123</f>
        <v>2.591488602340998E-2</v>
      </c>
      <c r="D124" s="23">
        <f>D123 / U123</f>
        <v>1.96294852051843E-3</v>
      </c>
      <c r="E124" s="23">
        <f>E123 / U123</f>
        <v>2.4738438761954487E-2</v>
      </c>
      <c r="F124" s="23">
        <f>F123 / U123</f>
        <v>1.8505911977951528E-4</v>
      </c>
      <c r="G124" s="23">
        <f>G123 / U123</f>
        <v>6.6297429661011348E-2</v>
      </c>
      <c r="H124" s="23">
        <f>H123 / U123</f>
        <v>3.4335075973377926E-2</v>
      </c>
      <c r="I124" s="23">
        <f>I123 / U123</f>
        <v>1.8406773163783929E-2</v>
      </c>
      <c r="J124" s="23">
        <f>J123 / U123</f>
        <v>0.18968559777400315</v>
      </c>
      <c r="K124" s="23">
        <f>K123 / U123</f>
        <v>0.14028142204715041</v>
      </c>
      <c r="L124" s="23">
        <f>L123 / U123</f>
        <v>1.7316246207940357E-3</v>
      </c>
      <c r="M124" s="23">
        <f>M123 / U123</f>
        <v>0.12501404466534041</v>
      </c>
      <c r="N124" s="23">
        <f>N123 / U123</f>
        <v>0.1263226770123527</v>
      </c>
      <c r="O124" s="23">
        <f>O123 / U123</f>
        <v>0</v>
      </c>
      <c r="P124" s="23">
        <f>P123 / U123</f>
        <v>0.19728624019351895</v>
      </c>
      <c r="Q124" s="23">
        <f>Q123 / U123</f>
        <v>1.057480684454373E-4</v>
      </c>
      <c r="R124" s="23">
        <f>R123 / U123</f>
        <v>2.8882441194160061E-2</v>
      </c>
      <c r="S124" s="23">
        <f>S123 / U123</f>
        <v>1.330442886129158E-2</v>
      </c>
      <c r="T124" s="23">
        <f>T123 / U123</f>
        <v>5.5451643391076187E-3</v>
      </c>
      <c r="U124" s="23">
        <f>U123 / U123</f>
        <v>1</v>
      </c>
    </row>
    <row r="126" spans="2:21" x14ac:dyDescent="0.3">
      <c r="B126" s="11" t="s">
        <v>299</v>
      </c>
      <c r="C126" s="12"/>
      <c r="D126" s="12"/>
      <c r="E126" s="12"/>
      <c r="F126" s="12"/>
    </row>
    <row r="127" spans="2:21" x14ac:dyDescent="0.3">
      <c r="B127" s="12"/>
      <c r="C127" s="12"/>
      <c r="D127" s="12"/>
      <c r="E127" s="12"/>
      <c r="F127" s="12"/>
    </row>
    <row r="128" spans="2:21" ht="30" customHeight="1" x14ac:dyDescent="0.3">
      <c r="B128" s="20" t="s">
        <v>202</v>
      </c>
      <c r="C128" s="20" t="s">
        <v>134</v>
      </c>
      <c r="D128" s="20" t="s">
        <v>198</v>
      </c>
      <c r="E128" s="20" t="s">
        <v>136</v>
      </c>
      <c r="F128" s="21" t="s">
        <v>224</v>
      </c>
    </row>
    <row r="129" spans="2:9" x14ac:dyDescent="0.3">
      <c r="B129" s="9" t="s">
        <v>158</v>
      </c>
      <c r="C129" s="9">
        <v>5821</v>
      </c>
      <c r="D129" s="9">
        <v>2836</v>
      </c>
      <c r="E129" s="9">
        <v>1350</v>
      </c>
      <c r="F129" s="9">
        <f>SUM(C129:E129)</f>
        <v>10007</v>
      </c>
    </row>
    <row r="130" spans="2:9" x14ac:dyDescent="0.3">
      <c r="B130" s="9" t="s">
        <v>159</v>
      </c>
      <c r="C130" s="9">
        <v>0</v>
      </c>
      <c r="D130" s="9">
        <v>0</v>
      </c>
      <c r="E130" s="9">
        <v>0</v>
      </c>
      <c r="F130" s="9">
        <f>SUM(C130:E130)</f>
        <v>0</v>
      </c>
    </row>
    <row r="131" spans="2:9" ht="15" thickBot="1" x14ac:dyDescent="0.35">
      <c r="B131" s="28" t="s">
        <v>160</v>
      </c>
      <c r="C131" s="28">
        <v>24</v>
      </c>
      <c r="D131" s="28">
        <v>0</v>
      </c>
      <c r="E131" s="28">
        <v>0</v>
      </c>
      <c r="F131" s="28">
        <f>SUM(C131:E131)</f>
        <v>24</v>
      </c>
    </row>
    <row r="132" spans="2:9" x14ac:dyDescent="0.3">
      <c r="B132" s="27" t="s">
        <v>269</v>
      </c>
      <c r="C132" s="27">
        <f>SUM(C129:C131)</f>
        <v>5845</v>
      </c>
      <c r="D132" s="27">
        <f>SUM(D129:D131)</f>
        <v>2836</v>
      </c>
      <c r="E132" s="27">
        <f>SUM(E129:E131)</f>
        <v>1350</v>
      </c>
      <c r="F132" s="27">
        <f>SUM(F129:F131)</f>
        <v>10031</v>
      </c>
    </row>
    <row r="133" spans="2:9" x14ac:dyDescent="0.3">
      <c r="B133" s="38" t="s">
        <v>226</v>
      </c>
      <c r="C133" s="23">
        <f>C132 / F132</f>
        <v>0.58269364968597348</v>
      </c>
      <c r="D133" s="23">
        <f>D132 / F132</f>
        <v>0.28272355697338253</v>
      </c>
      <c r="E133" s="23">
        <f>E132 / F132</f>
        <v>0.13458279334064399</v>
      </c>
      <c r="F133" s="23">
        <f>F132 / F132</f>
        <v>1</v>
      </c>
    </row>
    <row r="135" spans="2:9" x14ac:dyDescent="0.3">
      <c r="B135" s="11" t="s">
        <v>298</v>
      </c>
      <c r="C135" s="12"/>
      <c r="D135" s="12"/>
      <c r="E135" s="12"/>
      <c r="F135" s="12"/>
    </row>
    <row r="136" spans="2:9" x14ac:dyDescent="0.3">
      <c r="B136" s="12"/>
      <c r="C136" s="12"/>
      <c r="D136" s="12"/>
      <c r="E136" s="12"/>
      <c r="F136" s="12"/>
    </row>
    <row r="137" spans="2:9" ht="30" customHeight="1" x14ac:dyDescent="0.3">
      <c r="B137" s="20" t="s">
        <v>178</v>
      </c>
      <c r="C137" s="20" t="s">
        <v>72</v>
      </c>
      <c r="D137" s="20" t="s">
        <v>199</v>
      </c>
      <c r="E137" s="20" t="s">
        <v>200</v>
      </c>
      <c r="F137" s="21" t="s">
        <v>224</v>
      </c>
    </row>
    <row r="138" spans="2:9" x14ac:dyDescent="0.3">
      <c r="B138" s="9" t="s">
        <v>158</v>
      </c>
      <c r="C138" s="9">
        <v>924</v>
      </c>
      <c r="D138" s="9">
        <v>240</v>
      </c>
      <c r="E138" s="9">
        <v>2723</v>
      </c>
      <c r="F138" s="9">
        <f>SUM(C138:E138)</f>
        <v>3887</v>
      </c>
    </row>
    <row r="139" spans="2:9" x14ac:dyDescent="0.3">
      <c r="B139" s="9" t="s">
        <v>159</v>
      </c>
      <c r="C139" s="9">
        <v>0</v>
      </c>
      <c r="D139" s="9">
        <v>8</v>
      </c>
      <c r="E139" s="9">
        <v>0</v>
      </c>
      <c r="F139" s="9">
        <f>SUM(C139:E139)</f>
        <v>8</v>
      </c>
    </row>
    <row r="140" spans="2:9" ht="15" thickBot="1" x14ac:dyDescent="0.35">
      <c r="B140" s="28" t="s">
        <v>160</v>
      </c>
      <c r="C140" s="28">
        <v>20</v>
      </c>
      <c r="D140" s="28">
        <v>0</v>
      </c>
      <c r="E140" s="28">
        <v>6</v>
      </c>
      <c r="F140" s="28">
        <f>SUM(C140:E140)</f>
        <v>26</v>
      </c>
    </row>
    <row r="141" spans="2:9" x14ac:dyDescent="0.3">
      <c r="B141" s="27" t="s">
        <v>269</v>
      </c>
      <c r="C141" s="27">
        <f>SUM(C138:C140)</f>
        <v>944</v>
      </c>
      <c r="D141" s="27">
        <f>SUM(D138:D140)</f>
        <v>248</v>
      </c>
      <c r="E141" s="27">
        <f>SUM(E138:E140)</f>
        <v>2729</v>
      </c>
      <c r="F141" s="27">
        <f>SUM(F138:F140)</f>
        <v>3921</v>
      </c>
    </row>
    <row r="142" spans="2:9" x14ac:dyDescent="0.3">
      <c r="B142" s="38" t="s">
        <v>226</v>
      </c>
      <c r="C142" s="23">
        <f>C141 / F141</f>
        <v>0.24075490946187197</v>
      </c>
      <c r="D142" s="23">
        <f>D141 / F141</f>
        <v>6.3249171129813819E-2</v>
      </c>
      <c r="E142" s="23">
        <f>E141 / F141</f>
        <v>0.69599591940831418</v>
      </c>
      <c r="F142" s="23">
        <f>F141 / F141</f>
        <v>1</v>
      </c>
    </row>
    <row r="144" spans="2:9" x14ac:dyDescent="0.3">
      <c r="B144" s="11" t="s">
        <v>300</v>
      </c>
      <c r="C144" s="12"/>
      <c r="D144" s="12"/>
      <c r="E144" s="12"/>
      <c r="F144" s="12"/>
      <c r="G144" s="12"/>
      <c r="H144" s="12"/>
      <c r="I144" s="12"/>
    </row>
    <row r="145" spans="2:9" x14ac:dyDescent="0.3">
      <c r="B145" s="12"/>
      <c r="C145" s="12"/>
      <c r="D145" s="12"/>
      <c r="E145" s="12"/>
      <c r="F145" s="12"/>
      <c r="G145" s="12"/>
      <c r="H145" s="12"/>
      <c r="I145" s="12"/>
    </row>
    <row r="146" spans="2:9" s="7" customFormat="1" ht="54" customHeight="1" x14ac:dyDescent="0.3">
      <c r="B146" s="20" t="s">
        <v>202</v>
      </c>
      <c r="C146" s="20" t="s">
        <v>137</v>
      </c>
      <c r="D146" s="20" t="s">
        <v>138</v>
      </c>
      <c r="E146" s="20" t="s">
        <v>253</v>
      </c>
      <c r="F146" s="20" t="s">
        <v>140</v>
      </c>
      <c r="G146" s="20" t="s">
        <v>297</v>
      </c>
      <c r="H146" s="20" t="s">
        <v>142</v>
      </c>
      <c r="I146" s="21" t="s">
        <v>224</v>
      </c>
    </row>
    <row r="147" spans="2:9" x14ac:dyDescent="0.3">
      <c r="B147" s="9" t="s">
        <v>158</v>
      </c>
      <c r="C147" s="9">
        <v>2342</v>
      </c>
      <c r="D147" s="9">
        <v>13914</v>
      </c>
      <c r="E147" s="9">
        <v>0</v>
      </c>
      <c r="F147" s="9">
        <v>8770</v>
      </c>
      <c r="G147" s="9">
        <v>2769</v>
      </c>
      <c r="H147" s="9">
        <v>1088</v>
      </c>
      <c r="I147" s="9">
        <f>SUM(C147:H147)</f>
        <v>28883</v>
      </c>
    </row>
    <row r="148" spans="2:9" x14ac:dyDescent="0.3">
      <c r="B148" s="9" t="s">
        <v>159</v>
      </c>
      <c r="C148" s="9">
        <v>910</v>
      </c>
      <c r="D148" s="9">
        <v>0</v>
      </c>
      <c r="E148" s="9">
        <v>0</v>
      </c>
      <c r="F148" s="9">
        <v>0</v>
      </c>
      <c r="G148" s="9">
        <v>0</v>
      </c>
      <c r="H148" s="9">
        <v>13</v>
      </c>
      <c r="I148" s="9">
        <f>SUM(C148:H148)</f>
        <v>923</v>
      </c>
    </row>
    <row r="149" spans="2:9" ht="15" thickBot="1" x14ac:dyDescent="0.35">
      <c r="B149" s="28" t="s">
        <v>160</v>
      </c>
      <c r="C149" s="28">
        <v>44</v>
      </c>
      <c r="D149" s="28">
        <v>0</v>
      </c>
      <c r="E149" s="28">
        <v>0</v>
      </c>
      <c r="F149" s="28">
        <v>0</v>
      </c>
      <c r="G149" s="28">
        <v>0</v>
      </c>
      <c r="H149" s="28">
        <v>0</v>
      </c>
      <c r="I149" s="28">
        <f>SUM(C149:H149)</f>
        <v>44</v>
      </c>
    </row>
    <row r="150" spans="2:9" x14ac:dyDescent="0.3">
      <c r="B150" s="27" t="s">
        <v>269</v>
      </c>
      <c r="C150" s="27">
        <f t="shared" ref="C150:I150" si="10">SUM(C147:C149)</f>
        <v>3296</v>
      </c>
      <c r="D150" s="27">
        <f t="shared" si="10"/>
        <v>13914</v>
      </c>
      <c r="E150" s="27">
        <f t="shared" si="10"/>
        <v>0</v>
      </c>
      <c r="F150" s="27">
        <f t="shared" si="10"/>
        <v>8770</v>
      </c>
      <c r="G150" s="27">
        <f t="shared" si="10"/>
        <v>2769</v>
      </c>
      <c r="H150" s="27">
        <f t="shared" si="10"/>
        <v>1101</v>
      </c>
      <c r="I150" s="27">
        <f t="shared" si="10"/>
        <v>29850</v>
      </c>
    </row>
    <row r="151" spans="2:9" x14ac:dyDescent="0.3">
      <c r="B151" s="38" t="s">
        <v>226</v>
      </c>
      <c r="C151" s="23">
        <f>C150 / I150</f>
        <v>0.11041876046901172</v>
      </c>
      <c r="D151" s="23">
        <f>D150 / I150</f>
        <v>0.46613065326633168</v>
      </c>
      <c r="E151" s="23">
        <f>E150 / I150</f>
        <v>0</v>
      </c>
      <c r="F151" s="23">
        <f>F150 / I150</f>
        <v>0.29380234505862646</v>
      </c>
      <c r="G151" s="23">
        <f>G150 / I150</f>
        <v>9.2763819095477387E-2</v>
      </c>
      <c r="H151" s="23">
        <f>H150 / I150</f>
        <v>3.6884422110552761E-2</v>
      </c>
      <c r="I151" s="23">
        <f>I150 / I150</f>
        <v>1</v>
      </c>
    </row>
    <row r="156" spans="2:9" ht="15.6" x14ac:dyDescent="0.3">
      <c r="B156" s="5"/>
    </row>
    <row r="159" spans="2:9" x14ac:dyDescent="0.3">
      <c r="B159" s="1"/>
    </row>
    <row r="161" spans="3:3" ht="15.6" x14ac:dyDescent="0.3">
      <c r="C161" s="5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99"/>
  <sheetViews>
    <sheetView zoomScaleNormal="100" workbookViewId="0">
      <selection activeCell="B1" sqref="B1"/>
    </sheetView>
  </sheetViews>
  <sheetFormatPr baseColWidth="10" defaultRowHeight="14.4" x14ac:dyDescent="0.3"/>
  <cols>
    <col min="1" max="1" width="37.6640625" customWidth="1"/>
    <col min="2" max="2" width="69.5546875" customWidth="1"/>
  </cols>
  <sheetData>
    <row r="2" spans="2:4" ht="15.6" x14ac:dyDescent="0.3">
      <c r="B2" s="50" t="s">
        <v>309</v>
      </c>
      <c r="C2" s="51"/>
      <c r="D2" s="51"/>
    </row>
    <row r="3" spans="2:4" ht="15.6" x14ac:dyDescent="0.3">
      <c r="B3" s="55"/>
      <c r="C3" s="56"/>
      <c r="D3" s="56"/>
    </row>
    <row r="4" spans="2:4" ht="15.6" x14ac:dyDescent="0.3">
      <c r="B4" s="5" t="s">
        <v>308</v>
      </c>
    </row>
    <row r="6" spans="2:4" ht="30" customHeight="1" x14ac:dyDescent="0.3">
      <c r="B6" s="65" t="s">
        <v>312</v>
      </c>
      <c r="C6" s="66"/>
      <c r="D6" s="67"/>
    </row>
    <row r="7" spans="2:4" x14ac:dyDescent="0.3">
      <c r="B7" s="12"/>
      <c r="C7" s="12"/>
      <c r="D7" s="12"/>
    </row>
    <row r="8" spans="2:4" x14ac:dyDescent="0.3">
      <c r="B8" s="11" t="s">
        <v>1</v>
      </c>
      <c r="C8" s="11" t="s">
        <v>181</v>
      </c>
      <c r="D8" s="13" t="s">
        <v>81</v>
      </c>
    </row>
    <row r="9" spans="2:4" x14ac:dyDescent="0.3">
      <c r="B9" s="9" t="s">
        <v>41</v>
      </c>
      <c r="C9" s="9">
        <v>534630</v>
      </c>
      <c r="D9" s="10">
        <f>C9/C$50</f>
        <v>0.82990405257937283</v>
      </c>
    </row>
    <row r="10" spans="2:4" x14ac:dyDescent="0.3">
      <c r="B10" s="9" t="s">
        <v>76</v>
      </c>
      <c r="C10" s="9">
        <v>58264</v>
      </c>
      <c r="D10" s="10">
        <f t="shared" ref="D10:D50" si="0">C10/C$50</f>
        <v>9.0442978731991419E-2</v>
      </c>
    </row>
    <row r="11" spans="2:4" x14ac:dyDescent="0.3">
      <c r="B11" s="9" t="s">
        <v>42</v>
      </c>
      <c r="C11" s="9">
        <v>508</v>
      </c>
      <c r="D11" s="10">
        <f t="shared" si="0"/>
        <v>7.8856640800239672E-4</v>
      </c>
    </row>
    <row r="12" spans="2:4" x14ac:dyDescent="0.3">
      <c r="B12" s="9" t="s">
        <v>43</v>
      </c>
      <c r="C12" s="9">
        <v>160</v>
      </c>
      <c r="D12" s="10">
        <f t="shared" si="0"/>
        <v>2.4836737259918007E-4</v>
      </c>
    </row>
    <row r="13" spans="2:4" x14ac:dyDescent="0.3">
      <c r="B13" s="9" t="s">
        <v>44</v>
      </c>
      <c r="C13" s="9">
        <v>8</v>
      </c>
      <c r="D13" s="10">
        <f t="shared" si="0"/>
        <v>1.2418368629959003E-5</v>
      </c>
    </row>
    <row r="14" spans="2:4" x14ac:dyDescent="0.3">
      <c r="B14" s="9" t="s">
        <v>45</v>
      </c>
      <c r="C14" s="9">
        <v>749</v>
      </c>
      <c r="D14" s="10">
        <f t="shared" si="0"/>
        <v>1.1626697629799117E-3</v>
      </c>
    </row>
    <row r="15" spans="2:4" x14ac:dyDescent="0.3">
      <c r="B15" s="9" t="s">
        <v>207</v>
      </c>
      <c r="C15" s="9">
        <v>3180</v>
      </c>
      <c r="D15" s="10">
        <f t="shared" si="0"/>
        <v>4.9363015304087036E-3</v>
      </c>
    </row>
    <row r="16" spans="2:4" x14ac:dyDescent="0.3">
      <c r="B16" s="9" t="s">
        <v>46</v>
      </c>
      <c r="C16" s="9">
        <v>353</v>
      </c>
      <c r="D16" s="10">
        <f t="shared" si="0"/>
        <v>5.4796051579694108E-4</v>
      </c>
    </row>
    <row r="17" spans="2:4" x14ac:dyDescent="0.3">
      <c r="B17" s="9" t="s">
        <v>47</v>
      </c>
      <c r="C17" s="9">
        <v>0</v>
      </c>
      <c r="D17" s="10">
        <f t="shared" si="0"/>
        <v>0</v>
      </c>
    </row>
    <row r="18" spans="2:4" x14ac:dyDescent="0.3">
      <c r="B18" s="9" t="s">
        <v>48</v>
      </c>
      <c r="C18" s="9">
        <v>1</v>
      </c>
      <c r="D18" s="10">
        <f t="shared" si="0"/>
        <v>1.5522960787448754E-6</v>
      </c>
    </row>
    <row r="19" spans="2:4" x14ac:dyDescent="0.3">
      <c r="B19" s="9" t="s">
        <v>49</v>
      </c>
      <c r="C19" s="9">
        <v>16</v>
      </c>
      <c r="D19" s="10">
        <f t="shared" si="0"/>
        <v>2.4836737259918006E-5</v>
      </c>
    </row>
    <row r="20" spans="2:4" x14ac:dyDescent="0.3">
      <c r="B20" s="9" t="s">
        <v>208</v>
      </c>
      <c r="C20" s="9">
        <v>0</v>
      </c>
      <c r="D20" s="10">
        <f t="shared" si="0"/>
        <v>0</v>
      </c>
    </row>
    <row r="21" spans="2:4" x14ac:dyDescent="0.3">
      <c r="B21" s="9" t="s">
        <v>50</v>
      </c>
      <c r="C21" s="9">
        <v>0</v>
      </c>
      <c r="D21" s="10">
        <f t="shared" si="0"/>
        <v>0</v>
      </c>
    </row>
    <row r="22" spans="2:4" x14ac:dyDescent="0.3">
      <c r="B22" s="9" t="s">
        <v>51</v>
      </c>
      <c r="C22" s="9">
        <v>542</v>
      </c>
      <c r="D22" s="10">
        <f t="shared" si="0"/>
        <v>8.4134447467972256E-4</v>
      </c>
    </row>
    <row r="23" spans="2:4" x14ac:dyDescent="0.3">
      <c r="B23" s="9" t="s">
        <v>52</v>
      </c>
      <c r="C23" s="9">
        <v>6</v>
      </c>
      <c r="D23" s="10">
        <f t="shared" si="0"/>
        <v>9.3137764724692536E-6</v>
      </c>
    </row>
    <row r="24" spans="2:4" x14ac:dyDescent="0.3">
      <c r="B24" s="9" t="s">
        <v>53</v>
      </c>
      <c r="C24" s="9">
        <v>11</v>
      </c>
      <c r="D24" s="10">
        <f t="shared" si="0"/>
        <v>1.7075256866193631E-5</v>
      </c>
    </row>
    <row r="25" spans="2:4" x14ac:dyDescent="0.3">
      <c r="B25" s="9" t="s">
        <v>54</v>
      </c>
      <c r="C25" s="9">
        <v>10</v>
      </c>
      <c r="D25" s="10">
        <f t="shared" si="0"/>
        <v>1.5522960787448754E-5</v>
      </c>
    </row>
    <row r="26" spans="2:4" x14ac:dyDescent="0.3">
      <c r="B26" s="9" t="s">
        <v>55</v>
      </c>
      <c r="C26" s="9">
        <v>0</v>
      </c>
      <c r="D26" s="10">
        <f t="shared" si="0"/>
        <v>0</v>
      </c>
    </row>
    <row r="27" spans="2:4" x14ac:dyDescent="0.3">
      <c r="B27" s="9" t="s">
        <v>209</v>
      </c>
      <c r="C27" s="9">
        <v>18</v>
      </c>
      <c r="D27" s="10">
        <f t="shared" si="0"/>
        <v>2.7941329417407759E-5</v>
      </c>
    </row>
    <row r="28" spans="2:4" x14ac:dyDescent="0.3">
      <c r="B28" s="9" t="s">
        <v>56</v>
      </c>
      <c r="C28" s="9">
        <v>1</v>
      </c>
      <c r="D28" s="10">
        <f t="shared" si="0"/>
        <v>1.5522960787448754E-6</v>
      </c>
    </row>
    <row r="29" spans="2:4" x14ac:dyDescent="0.3">
      <c r="B29" s="9" t="s">
        <v>57</v>
      </c>
      <c r="C29" s="9">
        <v>10</v>
      </c>
      <c r="D29" s="10">
        <f t="shared" si="0"/>
        <v>1.5522960787448754E-5</v>
      </c>
    </row>
    <row r="30" spans="2:4" x14ac:dyDescent="0.3">
      <c r="B30" s="9" t="s">
        <v>210</v>
      </c>
      <c r="C30" s="9">
        <v>0</v>
      </c>
      <c r="D30" s="10">
        <f t="shared" si="0"/>
        <v>0</v>
      </c>
    </row>
    <row r="31" spans="2:4" x14ac:dyDescent="0.3">
      <c r="B31" s="9" t="s">
        <v>58</v>
      </c>
      <c r="C31" s="9">
        <v>0</v>
      </c>
      <c r="D31" s="10">
        <f t="shared" si="0"/>
        <v>0</v>
      </c>
    </row>
    <row r="32" spans="2:4" x14ac:dyDescent="0.3">
      <c r="B32" s="9" t="s">
        <v>211</v>
      </c>
      <c r="C32" s="9">
        <v>0</v>
      </c>
      <c r="D32" s="10">
        <f t="shared" si="0"/>
        <v>0</v>
      </c>
    </row>
    <row r="33" spans="2:4" x14ac:dyDescent="0.3">
      <c r="B33" s="9" t="s">
        <v>212</v>
      </c>
      <c r="C33" s="9">
        <v>0</v>
      </c>
      <c r="D33" s="10">
        <f t="shared" si="0"/>
        <v>0</v>
      </c>
    </row>
    <row r="34" spans="2:4" x14ac:dyDescent="0.3">
      <c r="B34" s="9" t="s">
        <v>213</v>
      </c>
      <c r="C34" s="9">
        <v>0</v>
      </c>
      <c r="D34" s="10">
        <f t="shared" si="0"/>
        <v>0</v>
      </c>
    </row>
    <row r="35" spans="2:4" x14ac:dyDescent="0.3">
      <c r="B35" s="9" t="s">
        <v>59</v>
      </c>
      <c r="C35" s="9">
        <v>0</v>
      </c>
      <c r="D35" s="10">
        <f t="shared" si="0"/>
        <v>0</v>
      </c>
    </row>
    <row r="36" spans="2:4" x14ac:dyDescent="0.3">
      <c r="B36" s="9" t="s">
        <v>214</v>
      </c>
      <c r="C36" s="9">
        <v>321</v>
      </c>
      <c r="D36" s="10">
        <f t="shared" si="0"/>
        <v>4.9828704127710503E-4</v>
      </c>
    </row>
    <row r="37" spans="2:4" x14ac:dyDescent="0.3">
      <c r="B37" s="9" t="s">
        <v>60</v>
      </c>
      <c r="C37" s="9">
        <v>6498</v>
      </c>
      <c r="D37" s="10">
        <f t="shared" si="0"/>
        <v>1.0086819919684201E-2</v>
      </c>
    </row>
    <row r="38" spans="2:4" x14ac:dyDescent="0.3">
      <c r="B38" s="9" t="s">
        <v>61</v>
      </c>
      <c r="C38" s="9">
        <v>1248</v>
      </c>
      <c r="D38" s="10">
        <f t="shared" si="0"/>
        <v>1.9372655062736045E-3</v>
      </c>
    </row>
    <row r="39" spans="2:4" x14ac:dyDescent="0.3">
      <c r="B39" s="9" t="s">
        <v>78</v>
      </c>
      <c r="C39" s="9">
        <v>472</v>
      </c>
      <c r="D39" s="10">
        <f t="shared" si="0"/>
        <v>7.3268374916758119E-4</v>
      </c>
    </row>
    <row r="40" spans="2:4" x14ac:dyDescent="0.3">
      <c r="B40" s="9" t="s">
        <v>62</v>
      </c>
      <c r="C40" s="9">
        <v>282</v>
      </c>
      <c r="D40" s="10">
        <f t="shared" si="0"/>
        <v>4.3774749420605487E-4</v>
      </c>
    </row>
    <row r="41" spans="2:4" x14ac:dyDescent="0.3">
      <c r="B41" s="9" t="s">
        <v>314</v>
      </c>
      <c r="C41" s="9">
        <v>0</v>
      </c>
      <c r="D41" s="10">
        <f t="shared" si="0"/>
        <v>0</v>
      </c>
    </row>
    <row r="42" spans="2:4" x14ac:dyDescent="0.3">
      <c r="B42" s="9" t="s">
        <v>79</v>
      </c>
      <c r="C42" s="9">
        <v>2133</v>
      </c>
      <c r="D42" s="10">
        <f t="shared" si="0"/>
        <v>3.3110475359628194E-3</v>
      </c>
    </row>
    <row r="43" spans="2:4" x14ac:dyDescent="0.3">
      <c r="B43" s="9" t="s">
        <v>215</v>
      </c>
      <c r="C43" s="9">
        <v>1827</v>
      </c>
      <c r="D43" s="10">
        <f t="shared" si="0"/>
        <v>2.8360449358668877E-3</v>
      </c>
    </row>
    <row r="44" spans="2:4" x14ac:dyDescent="0.3">
      <c r="B44" s="9" t="s">
        <v>63</v>
      </c>
      <c r="C44" s="9">
        <v>14355</v>
      </c>
      <c r="D44" s="10">
        <f t="shared" si="0"/>
        <v>2.2283210210382688E-2</v>
      </c>
    </row>
    <row r="45" spans="2:4" x14ac:dyDescent="0.3">
      <c r="B45" s="9" t="s">
        <v>216</v>
      </c>
      <c r="C45" s="9">
        <v>1026</v>
      </c>
      <c r="D45" s="10">
        <f t="shared" si="0"/>
        <v>1.5926557767922422E-3</v>
      </c>
    </row>
    <row r="46" spans="2:4" x14ac:dyDescent="0.3">
      <c r="B46" s="9" t="s">
        <v>64</v>
      </c>
      <c r="C46" s="9">
        <v>5042</v>
      </c>
      <c r="D46" s="10">
        <f t="shared" si="0"/>
        <v>7.8266768290316622E-3</v>
      </c>
    </row>
    <row r="47" spans="2:4" x14ac:dyDescent="0.3">
      <c r="B47" s="9" t="s">
        <v>65</v>
      </c>
      <c r="C47" s="9">
        <v>3247</v>
      </c>
      <c r="D47" s="10">
        <f t="shared" si="0"/>
        <v>5.0403053676846103E-3</v>
      </c>
    </row>
    <row r="48" spans="2:4" x14ac:dyDescent="0.3">
      <c r="B48" s="9" t="s">
        <v>217</v>
      </c>
      <c r="C48" s="9">
        <v>9289</v>
      </c>
      <c r="D48" s="10">
        <f t="shared" si="0"/>
        <v>1.4419278275461148E-2</v>
      </c>
    </row>
    <row r="49" spans="2:4" ht="15" thickBot="1" x14ac:dyDescent="0.35">
      <c r="B49" s="28" t="s">
        <v>66</v>
      </c>
      <c r="C49" s="28">
        <v>0</v>
      </c>
      <c r="D49" s="32">
        <f t="shared" si="0"/>
        <v>0</v>
      </c>
    </row>
    <row r="50" spans="2:4" x14ac:dyDescent="0.3">
      <c r="B50" s="27" t="s">
        <v>180</v>
      </c>
      <c r="C50" s="27">
        <f>SUM(C9:C49)</f>
        <v>644207</v>
      </c>
      <c r="D50" s="31">
        <f t="shared" si="0"/>
        <v>1</v>
      </c>
    </row>
    <row r="53" spans="2:4" ht="15.6" x14ac:dyDescent="0.3">
      <c r="B53" s="5" t="s">
        <v>310</v>
      </c>
    </row>
    <row r="55" spans="2:4" ht="44.25" customHeight="1" x14ac:dyDescent="0.3">
      <c r="B55" s="62" t="s">
        <v>311</v>
      </c>
      <c r="C55" s="63"/>
      <c r="D55" s="64"/>
    </row>
    <row r="56" spans="2:4" x14ac:dyDescent="0.3">
      <c r="B56" s="12"/>
      <c r="C56" s="12"/>
      <c r="D56" s="12"/>
    </row>
    <row r="57" spans="2:4" x14ac:dyDescent="0.3">
      <c r="B57" s="11" t="s">
        <v>1</v>
      </c>
      <c r="C57" s="11" t="s">
        <v>181</v>
      </c>
      <c r="D57" s="13" t="s">
        <v>81</v>
      </c>
    </row>
    <row r="58" spans="2:4" x14ac:dyDescent="0.3">
      <c r="B58" s="9" t="s">
        <v>41</v>
      </c>
      <c r="C58" s="9">
        <v>2188350</v>
      </c>
      <c r="D58" s="10">
        <f>C58/C$99</f>
        <v>0.85664458850056369</v>
      </c>
    </row>
    <row r="59" spans="2:4" x14ac:dyDescent="0.3">
      <c r="B59" s="9" t="s">
        <v>76</v>
      </c>
      <c r="C59" s="9">
        <v>33456</v>
      </c>
      <c r="D59" s="10">
        <f t="shared" ref="D59:D99" si="1">C59/C$99</f>
        <v>1.3096580232995115E-2</v>
      </c>
    </row>
    <row r="60" spans="2:4" x14ac:dyDescent="0.3">
      <c r="B60" s="9" t="s">
        <v>42</v>
      </c>
      <c r="C60" s="9">
        <v>27</v>
      </c>
      <c r="D60" s="10">
        <f t="shared" si="1"/>
        <v>1.0569334836527621E-5</v>
      </c>
    </row>
    <row r="61" spans="2:4" x14ac:dyDescent="0.3">
      <c r="B61" s="9" t="s">
        <v>43</v>
      </c>
      <c r="C61" s="9">
        <v>5</v>
      </c>
      <c r="D61" s="10">
        <f t="shared" si="1"/>
        <v>1.9572842289865967E-6</v>
      </c>
    </row>
    <row r="62" spans="2:4" x14ac:dyDescent="0.3">
      <c r="B62" s="9" t="s">
        <v>44</v>
      </c>
      <c r="C62" s="9">
        <v>0</v>
      </c>
      <c r="D62" s="10">
        <f t="shared" si="1"/>
        <v>0</v>
      </c>
    </row>
    <row r="63" spans="2:4" x14ac:dyDescent="0.3">
      <c r="B63" s="9" t="s">
        <v>45</v>
      </c>
      <c r="C63" s="9">
        <v>254</v>
      </c>
      <c r="D63" s="10">
        <f t="shared" si="1"/>
        <v>9.9430038832519098E-5</v>
      </c>
    </row>
    <row r="64" spans="2:4" x14ac:dyDescent="0.3">
      <c r="B64" s="9" t="s">
        <v>207</v>
      </c>
      <c r="C64" s="9">
        <v>1506</v>
      </c>
      <c r="D64" s="10">
        <f t="shared" si="1"/>
        <v>5.8953400977076282E-4</v>
      </c>
    </row>
    <row r="65" spans="2:4" x14ac:dyDescent="0.3">
      <c r="B65" s="9" t="s">
        <v>46</v>
      </c>
      <c r="C65" s="9">
        <v>81</v>
      </c>
      <c r="D65" s="10">
        <f t="shared" si="1"/>
        <v>3.1708004509582861E-5</v>
      </c>
    </row>
    <row r="66" spans="2:4" x14ac:dyDescent="0.3">
      <c r="B66" s="9" t="s">
        <v>47</v>
      </c>
      <c r="C66" s="9">
        <v>0</v>
      </c>
      <c r="D66" s="10">
        <f t="shared" si="1"/>
        <v>0</v>
      </c>
    </row>
    <row r="67" spans="2:4" x14ac:dyDescent="0.3">
      <c r="B67" s="9" t="s">
        <v>48</v>
      </c>
      <c r="C67" s="9">
        <v>0</v>
      </c>
      <c r="D67" s="10">
        <f t="shared" si="1"/>
        <v>0</v>
      </c>
    </row>
    <row r="68" spans="2:4" x14ac:dyDescent="0.3">
      <c r="B68" s="9" t="s">
        <v>49</v>
      </c>
      <c r="C68" s="9">
        <v>0</v>
      </c>
      <c r="D68" s="10">
        <f t="shared" si="1"/>
        <v>0</v>
      </c>
    </row>
    <row r="69" spans="2:4" x14ac:dyDescent="0.3">
      <c r="B69" s="9" t="s">
        <v>208</v>
      </c>
      <c r="C69" s="9">
        <v>0</v>
      </c>
      <c r="D69" s="10">
        <f t="shared" si="1"/>
        <v>0</v>
      </c>
    </row>
    <row r="70" spans="2:4" x14ac:dyDescent="0.3">
      <c r="B70" s="9" t="s">
        <v>50</v>
      </c>
      <c r="C70" s="9">
        <v>0</v>
      </c>
      <c r="D70" s="10">
        <f t="shared" si="1"/>
        <v>0</v>
      </c>
    </row>
    <row r="71" spans="2:4" x14ac:dyDescent="0.3">
      <c r="B71" s="9" t="s">
        <v>51</v>
      </c>
      <c r="C71" s="9">
        <v>313</v>
      </c>
      <c r="D71" s="10">
        <f t="shared" si="1"/>
        <v>1.2252599273456093E-4</v>
      </c>
    </row>
    <row r="72" spans="2:4" x14ac:dyDescent="0.3">
      <c r="B72" s="9" t="s">
        <v>52</v>
      </c>
      <c r="C72" s="9">
        <v>0</v>
      </c>
      <c r="D72" s="10">
        <f t="shared" si="1"/>
        <v>0</v>
      </c>
    </row>
    <row r="73" spans="2:4" x14ac:dyDescent="0.3">
      <c r="B73" s="9" t="s">
        <v>53</v>
      </c>
      <c r="C73" s="9">
        <v>2</v>
      </c>
      <c r="D73" s="10">
        <f t="shared" si="1"/>
        <v>7.8291369159463858E-7</v>
      </c>
    </row>
    <row r="74" spans="2:4" x14ac:dyDescent="0.3">
      <c r="B74" s="9" t="s">
        <v>54</v>
      </c>
      <c r="C74" s="9">
        <v>95</v>
      </c>
      <c r="D74" s="10">
        <f t="shared" si="1"/>
        <v>3.7188400350745337E-5</v>
      </c>
    </row>
    <row r="75" spans="2:4" x14ac:dyDescent="0.3">
      <c r="B75" s="9" t="s">
        <v>55</v>
      </c>
      <c r="C75" s="9">
        <v>0</v>
      </c>
      <c r="D75" s="10">
        <f t="shared" si="1"/>
        <v>0</v>
      </c>
    </row>
    <row r="76" spans="2:4" x14ac:dyDescent="0.3">
      <c r="B76" s="9" t="s">
        <v>209</v>
      </c>
      <c r="C76" s="9">
        <v>0</v>
      </c>
      <c r="D76" s="10">
        <f t="shared" si="1"/>
        <v>0</v>
      </c>
    </row>
    <row r="77" spans="2:4" x14ac:dyDescent="0.3">
      <c r="B77" s="9" t="s">
        <v>56</v>
      </c>
      <c r="C77" s="9">
        <v>0</v>
      </c>
      <c r="D77" s="10">
        <f t="shared" si="1"/>
        <v>0</v>
      </c>
    </row>
    <row r="78" spans="2:4" x14ac:dyDescent="0.3">
      <c r="B78" s="9" t="s">
        <v>57</v>
      </c>
      <c r="C78" s="9">
        <v>0</v>
      </c>
      <c r="D78" s="10">
        <f t="shared" si="1"/>
        <v>0</v>
      </c>
    </row>
    <row r="79" spans="2:4" x14ac:dyDescent="0.3">
      <c r="B79" s="9" t="s">
        <v>210</v>
      </c>
      <c r="C79" s="9">
        <v>0</v>
      </c>
      <c r="D79" s="10">
        <f t="shared" si="1"/>
        <v>0</v>
      </c>
    </row>
    <row r="80" spans="2:4" x14ac:dyDescent="0.3">
      <c r="B80" s="9" t="s">
        <v>58</v>
      </c>
      <c r="C80" s="9">
        <v>0</v>
      </c>
      <c r="D80" s="10">
        <f t="shared" si="1"/>
        <v>0</v>
      </c>
    </row>
    <row r="81" spans="2:4" x14ac:dyDescent="0.3">
      <c r="B81" s="9" t="s">
        <v>211</v>
      </c>
      <c r="C81" s="9">
        <v>0</v>
      </c>
      <c r="D81" s="10">
        <f t="shared" si="1"/>
        <v>0</v>
      </c>
    </row>
    <row r="82" spans="2:4" x14ac:dyDescent="0.3">
      <c r="B82" s="9" t="s">
        <v>212</v>
      </c>
      <c r="C82" s="9">
        <v>0</v>
      </c>
      <c r="D82" s="10">
        <f t="shared" si="1"/>
        <v>0</v>
      </c>
    </row>
    <row r="83" spans="2:4" x14ac:dyDescent="0.3">
      <c r="B83" s="9" t="s">
        <v>213</v>
      </c>
      <c r="C83" s="9">
        <v>0</v>
      </c>
      <c r="D83" s="10">
        <f t="shared" si="1"/>
        <v>0</v>
      </c>
    </row>
    <row r="84" spans="2:4" x14ac:dyDescent="0.3">
      <c r="B84" s="9" t="s">
        <v>59</v>
      </c>
      <c r="C84" s="9">
        <v>0</v>
      </c>
      <c r="D84" s="10">
        <f t="shared" si="1"/>
        <v>0</v>
      </c>
    </row>
    <row r="85" spans="2:4" x14ac:dyDescent="0.3">
      <c r="B85" s="9" t="s">
        <v>214</v>
      </c>
      <c r="C85" s="9">
        <v>0</v>
      </c>
      <c r="D85" s="10">
        <f t="shared" si="1"/>
        <v>0</v>
      </c>
    </row>
    <row r="86" spans="2:4" x14ac:dyDescent="0.3">
      <c r="B86" s="9" t="s">
        <v>60</v>
      </c>
      <c r="C86" s="9">
        <v>2237</v>
      </c>
      <c r="D86" s="10">
        <f t="shared" si="1"/>
        <v>8.7568896404860333E-4</v>
      </c>
    </row>
    <row r="87" spans="2:4" x14ac:dyDescent="0.3">
      <c r="B87" s="9" t="s">
        <v>61</v>
      </c>
      <c r="C87" s="9">
        <v>0</v>
      </c>
      <c r="D87" s="10">
        <f t="shared" si="1"/>
        <v>0</v>
      </c>
    </row>
    <row r="88" spans="2:4" x14ac:dyDescent="0.3">
      <c r="B88" s="9" t="s">
        <v>78</v>
      </c>
      <c r="C88" s="9">
        <v>22</v>
      </c>
      <c r="D88" s="10">
        <f t="shared" si="1"/>
        <v>8.6120506075410238E-6</v>
      </c>
    </row>
    <row r="89" spans="2:4" x14ac:dyDescent="0.3">
      <c r="B89" s="9" t="s">
        <v>62</v>
      </c>
      <c r="C89" s="9">
        <v>0</v>
      </c>
      <c r="D89" s="10">
        <f t="shared" si="1"/>
        <v>0</v>
      </c>
    </row>
    <row r="90" spans="2:4" x14ac:dyDescent="0.3">
      <c r="B90" s="9" t="s">
        <v>314</v>
      </c>
      <c r="C90" s="9">
        <v>0</v>
      </c>
      <c r="D90" s="10">
        <f t="shared" si="1"/>
        <v>0</v>
      </c>
    </row>
    <row r="91" spans="2:4" x14ac:dyDescent="0.3">
      <c r="B91" s="9" t="s">
        <v>79</v>
      </c>
      <c r="C91" s="9">
        <v>7129</v>
      </c>
      <c r="D91" s="10">
        <f t="shared" si="1"/>
        <v>2.7906958536890892E-3</v>
      </c>
    </row>
    <row r="92" spans="2:4" x14ac:dyDescent="0.3">
      <c r="B92" s="9" t="s">
        <v>215</v>
      </c>
      <c r="C92" s="9">
        <v>1491</v>
      </c>
      <c r="D92" s="10">
        <f t="shared" si="1"/>
        <v>5.8366215708380309E-4</v>
      </c>
    </row>
    <row r="93" spans="2:4" x14ac:dyDescent="0.3">
      <c r="B93" s="9" t="s">
        <v>63</v>
      </c>
      <c r="C93" s="9">
        <v>295677</v>
      </c>
      <c r="D93" s="10">
        <f t="shared" si="1"/>
        <v>0.11574478579481398</v>
      </c>
    </row>
    <row r="94" spans="2:4" x14ac:dyDescent="0.3">
      <c r="B94" s="9" t="s">
        <v>216</v>
      </c>
      <c r="C94" s="9">
        <v>0</v>
      </c>
      <c r="D94" s="10">
        <f t="shared" si="1"/>
        <v>0</v>
      </c>
    </row>
    <row r="95" spans="2:4" x14ac:dyDescent="0.3">
      <c r="B95" s="9" t="s">
        <v>64</v>
      </c>
      <c r="C95" s="9">
        <v>449</v>
      </c>
      <c r="D95" s="10">
        <f t="shared" si="1"/>
        <v>1.7576412376299637E-4</v>
      </c>
    </row>
    <row r="96" spans="2:4" x14ac:dyDescent="0.3">
      <c r="B96" s="9" t="s">
        <v>65</v>
      </c>
      <c r="C96" s="9">
        <v>2</v>
      </c>
      <c r="D96" s="10">
        <f t="shared" si="1"/>
        <v>7.8291369159463858E-7</v>
      </c>
    </row>
    <row r="97" spans="2:4" x14ac:dyDescent="0.3">
      <c r="B97" s="9" t="s">
        <v>217</v>
      </c>
      <c r="C97" s="9">
        <v>23464</v>
      </c>
      <c r="D97" s="10">
        <f t="shared" si="1"/>
        <v>9.1851434297883002E-3</v>
      </c>
    </row>
    <row r="98" spans="2:4" ht="15" thickBot="1" x14ac:dyDescent="0.35">
      <c r="B98" s="28" t="s">
        <v>66</v>
      </c>
      <c r="C98" s="28">
        <v>0</v>
      </c>
      <c r="D98" s="32">
        <f t="shared" si="1"/>
        <v>0</v>
      </c>
    </row>
    <row r="99" spans="2:4" x14ac:dyDescent="0.3">
      <c r="B99" s="27" t="s">
        <v>180</v>
      </c>
      <c r="C99" s="27">
        <f>SUM(C58:C98)</f>
        <v>2554560</v>
      </c>
      <c r="D99" s="31">
        <f t="shared" si="1"/>
        <v>1</v>
      </c>
    </row>
  </sheetData>
  <mergeCells count="2">
    <mergeCell ref="B55:D55"/>
    <mergeCell ref="B6:D6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Hintergrund</vt:lpstr>
      <vt:lpstr>Tabellen 1-8</vt:lpstr>
      <vt:lpstr>Tabellen 9-18</vt:lpstr>
      <vt:lpstr>Tabellen 19-34</vt:lpstr>
      <vt:lpstr>Tabellen 35-46</vt:lpstr>
      <vt:lpstr>Tabelle 47+48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Bf3R</dc:creator>
  <cp:lastModifiedBy>Herr Thomas Schlicht</cp:lastModifiedBy>
  <cp:lastPrinted>2022-11-14T13:47:33Z</cp:lastPrinted>
  <dcterms:created xsi:type="dcterms:W3CDTF">2022-11-08T12:45:33Z</dcterms:created>
  <dcterms:modified xsi:type="dcterms:W3CDTF">2022-12-21T16:06:42Z</dcterms:modified>
</cp:coreProperties>
</file>