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8780" windowHeight="13170" activeTab="0"/>
  </bookViews>
  <sheets>
    <sheet name="Operator" sheetId="1" r:id="rId1"/>
  </sheets>
  <definedNames>
    <definedName name="_xlnm.Print_Area" localSheetId="0">'Operator'!$A$1:$F$110</definedName>
  </definedNames>
  <calcPr fullCalcOnLoad="1"/>
</workbook>
</file>

<file path=xl/sharedStrings.xml><?xml version="1.0" encoding="utf-8"?>
<sst xmlns="http://schemas.openxmlformats.org/spreadsheetml/2006/main" count="241" uniqueCount="117">
  <si>
    <t xml:space="preserve"> Product</t>
  </si>
  <si>
    <t>Field Crops, Tractor Mounted (FCTM)</t>
  </si>
  <si>
    <t xml:space="preserve"> Application rate (AR)</t>
  </si>
  <si>
    <t xml:space="preserve"> Treated area per day (A)</t>
  </si>
  <si>
    <t xml:space="preserve">  ha/d</t>
  </si>
  <si>
    <t xml:space="preserve"> Systemic AOEL</t>
  </si>
  <si>
    <t xml:space="preserve">  %</t>
  </si>
  <si>
    <t xml:space="preserve">  kg</t>
  </si>
  <si>
    <t>Liquid</t>
  </si>
  <si>
    <t>Estimated inhalation exposure:</t>
  </si>
  <si>
    <t>Water soluble or dispersible granules (WG)</t>
  </si>
  <si>
    <t xml:space="preserve">Estimated dermal exposure: </t>
  </si>
  <si>
    <t>Wettable powder (WP)</t>
  </si>
  <si>
    <t>to lower:</t>
  </si>
  <si>
    <t>solid (WP)</t>
  </si>
  <si>
    <t>solid (WG)</t>
  </si>
  <si>
    <t xml:space="preserve"> Active substance (a.s.)</t>
  </si>
  <si>
    <t>Reduction factor</t>
  </si>
  <si>
    <t>Factor</t>
  </si>
  <si>
    <t xml:space="preserve">  mg/kg bw/d</t>
  </si>
  <si>
    <t xml:space="preserve"> Body weight (BW)</t>
  </si>
  <si>
    <t xml:space="preserve">  kg a.s./ha</t>
  </si>
  <si>
    <t xml:space="preserve"> Type of preparation</t>
  </si>
  <si>
    <t xml:space="preserve">  % for mixing/loading (m/l)</t>
  </si>
  <si>
    <t xml:space="preserve">  % for application (appl.)</t>
  </si>
  <si>
    <t>e.g. cereals</t>
  </si>
  <si>
    <t>BVL code</t>
  </si>
  <si>
    <t>Formulation type:</t>
  </si>
  <si>
    <t>Estimation of operator exposure: German model</t>
  </si>
  <si>
    <t>Input parameters considered for the estimation of operator exposure:</t>
  </si>
  <si>
    <r>
      <t>Dermal hands m/l (D</t>
    </r>
    <r>
      <rPr>
        <b/>
        <vertAlign val="subscript"/>
        <sz val="10"/>
        <rFont val="Times New Roman"/>
        <family val="1"/>
      </rPr>
      <t>M(H)</t>
    </r>
    <r>
      <rPr>
        <b/>
        <sz val="10"/>
        <rFont val="Times New Roman"/>
        <family val="1"/>
      </rPr>
      <t>):</t>
    </r>
  </si>
  <si>
    <t>Application technique:</t>
  </si>
  <si>
    <r>
      <t>Dermal hands appl. (D</t>
    </r>
    <r>
      <rPr>
        <b/>
        <vertAlign val="subscript"/>
        <sz val="10"/>
        <rFont val="Times New Roman"/>
        <family val="1"/>
      </rPr>
      <t>A(H)</t>
    </r>
    <r>
      <rPr>
        <b/>
        <sz val="10"/>
        <rFont val="Times New Roman"/>
        <family val="1"/>
      </rPr>
      <t>):</t>
    </r>
  </si>
  <si>
    <t>Application rate (AR):</t>
  </si>
  <si>
    <r>
      <t>Dermal body appl. (D</t>
    </r>
    <r>
      <rPr>
        <b/>
        <vertAlign val="subscript"/>
        <sz val="10"/>
        <rFont val="Times New Roman"/>
        <family val="1"/>
      </rPr>
      <t>A(B)</t>
    </r>
    <r>
      <rPr>
        <b/>
        <sz val="10"/>
        <rFont val="Times New Roman"/>
        <family val="1"/>
      </rPr>
      <t>):</t>
    </r>
  </si>
  <si>
    <t>Area treated per day (A):</t>
  </si>
  <si>
    <r>
      <t>Dermal head appl. (D</t>
    </r>
    <r>
      <rPr>
        <b/>
        <vertAlign val="subscript"/>
        <sz val="10"/>
        <rFont val="Times New Roman"/>
        <family val="1"/>
      </rPr>
      <t>A(C)</t>
    </r>
    <r>
      <rPr>
        <b/>
        <sz val="10"/>
        <rFont val="Times New Roman"/>
        <family val="1"/>
      </rPr>
      <t>):</t>
    </r>
  </si>
  <si>
    <t>Dermal absorption (DA):</t>
  </si>
  <si>
    <r>
      <t>Inhalation m/l (I</t>
    </r>
    <r>
      <rPr>
        <b/>
        <vertAlign val="subscript"/>
        <sz val="10"/>
        <rFont val="Times New Roman"/>
        <family val="1"/>
      </rPr>
      <t>M</t>
    </r>
    <r>
      <rPr>
        <b/>
        <sz val="10"/>
        <rFont val="Times New Roman"/>
        <family val="1"/>
      </rPr>
      <t>):</t>
    </r>
  </si>
  <si>
    <t>Body weight (BW):</t>
  </si>
  <si>
    <r>
      <t>Inhalation appl. (I</t>
    </r>
    <r>
      <rPr>
        <b/>
        <vertAlign val="subscript"/>
        <sz val="10"/>
        <rFont val="Times New Roman"/>
        <family val="1"/>
      </rPr>
      <t>A</t>
    </r>
    <r>
      <rPr>
        <b/>
        <sz val="10"/>
        <rFont val="Times New Roman"/>
        <family val="1"/>
      </rPr>
      <t>):</t>
    </r>
  </si>
  <si>
    <t>Without PPE</t>
  </si>
  <si>
    <t>With PPE</t>
  </si>
  <si>
    <t>Hands</t>
  </si>
  <si>
    <r>
      <t>SDE</t>
    </r>
    <r>
      <rPr>
        <vertAlign val="subscript"/>
        <sz val="10"/>
        <rFont val="Times New Roman"/>
        <family val="1"/>
      </rPr>
      <t>OM(H)</t>
    </r>
    <r>
      <rPr>
        <sz val="10"/>
        <rFont val="Times New Roman"/>
        <family val="1"/>
      </rPr>
      <t xml:space="preserve"> = (D</t>
    </r>
    <r>
      <rPr>
        <vertAlign val="subscript"/>
        <sz val="10"/>
        <rFont val="Times New Roman"/>
        <family val="1"/>
      </rPr>
      <t>M(H)</t>
    </r>
    <r>
      <rPr>
        <sz val="10"/>
        <rFont val="Times New Roman"/>
        <family val="1"/>
      </rPr>
      <t xml:space="preserve"> x AR x A x DA) / BW</t>
    </r>
  </si>
  <si>
    <t>mg/kg bw/d</t>
  </si>
  <si>
    <r>
      <t>SDE</t>
    </r>
    <r>
      <rPr>
        <vertAlign val="subscript"/>
        <sz val="10"/>
        <rFont val="Times New Roman"/>
        <family val="1"/>
      </rPr>
      <t>OA(H)</t>
    </r>
    <r>
      <rPr>
        <sz val="10"/>
        <rFont val="Times New Roman"/>
        <family val="1"/>
      </rPr>
      <t xml:space="preserve"> = (D</t>
    </r>
    <r>
      <rPr>
        <vertAlign val="subscript"/>
        <sz val="10"/>
        <rFont val="Times New Roman"/>
        <family val="1"/>
      </rPr>
      <t>A(H)</t>
    </r>
    <r>
      <rPr>
        <sz val="10"/>
        <rFont val="Times New Roman"/>
        <family val="1"/>
      </rPr>
      <t xml:space="preserve"> x AR x A x DA) / BW</t>
    </r>
  </si>
  <si>
    <t>Body</t>
  </si>
  <si>
    <r>
      <t>SDE</t>
    </r>
    <r>
      <rPr>
        <vertAlign val="subscript"/>
        <sz val="10"/>
        <rFont val="Times New Roman"/>
        <family val="1"/>
      </rPr>
      <t>OA(B)</t>
    </r>
    <r>
      <rPr>
        <sz val="10"/>
        <rFont val="Times New Roman"/>
        <family val="1"/>
      </rPr>
      <t xml:space="preserve"> = (D</t>
    </r>
    <r>
      <rPr>
        <vertAlign val="subscript"/>
        <sz val="10"/>
        <rFont val="Times New Roman"/>
        <family val="1"/>
      </rPr>
      <t>A(B)</t>
    </r>
    <r>
      <rPr>
        <sz val="10"/>
        <rFont val="Times New Roman"/>
        <family val="1"/>
      </rPr>
      <t xml:space="preserve"> x AR x A x DA) / BW</t>
    </r>
  </si>
  <si>
    <t>Head</t>
  </si>
  <si>
    <r>
      <t>SDE</t>
    </r>
    <r>
      <rPr>
        <vertAlign val="subscript"/>
        <sz val="10"/>
        <rFont val="Times New Roman"/>
        <family val="1"/>
      </rPr>
      <t>OA(C)</t>
    </r>
    <r>
      <rPr>
        <sz val="10"/>
        <rFont val="Times New Roman"/>
        <family val="1"/>
      </rPr>
      <t xml:space="preserve"> = (D</t>
    </r>
    <r>
      <rPr>
        <vertAlign val="subscript"/>
        <sz val="10"/>
        <rFont val="Times New Roman"/>
        <family val="1"/>
      </rPr>
      <t>A(C)</t>
    </r>
    <r>
      <rPr>
        <sz val="10"/>
        <rFont val="Times New Roman"/>
        <family val="1"/>
      </rPr>
      <t xml:space="preserve"> x AR x A x DA) / BW</t>
    </r>
  </si>
  <si>
    <r>
      <t>Total systemic exposure: SE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= SDE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+ SIE</t>
    </r>
    <r>
      <rPr>
        <vertAlign val="subscript"/>
        <sz val="10"/>
        <rFont val="Times New Roman"/>
        <family val="1"/>
      </rPr>
      <t>O</t>
    </r>
  </si>
  <si>
    <t>% of AOEL</t>
  </si>
  <si>
    <t xml:space="preserve">% of AOEL </t>
  </si>
  <si>
    <t>ha</t>
  </si>
  <si>
    <t>% (dilution)</t>
  </si>
  <si>
    <t>kg/person</t>
  </si>
  <si>
    <t>kg</t>
  </si>
  <si>
    <t>mg/person/kg a.s.</t>
  </si>
  <si>
    <t>AOEL</t>
  </si>
  <si>
    <t>Inhalation absorption (IA):</t>
  </si>
  <si>
    <t>%</t>
  </si>
  <si>
    <r>
      <t>Total systemic dermal exposure: SDE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= SDE</t>
    </r>
    <r>
      <rPr>
        <vertAlign val="subscript"/>
        <sz val="10"/>
        <rFont val="Times New Roman"/>
        <family val="1"/>
      </rPr>
      <t>OM(H)</t>
    </r>
    <r>
      <rPr>
        <sz val="10"/>
        <rFont val="Times New Roman"/>
        <family val="1"/>
      </rPr>
      <t xml:space="preserve"> + SDE</t>
    </r>
    <r>
      <rPr>
        <vertAlign val="subscript"/>
        <sz val="10"/>
        <rFont val="Times New Roman"/>
        <family val="1"/>
      </rPr>
      <t>OA(H)</t>
    </r>
    <r>
      <rPr>
        <sz val="10"/>
        <rFont val="Times New Roman"/>
        <family val="1"/>
      </rPr>
      <t xml:space="preserve"> + SDE</t>
    </r>
    <r>
      <rPr>
        <vertAlign val="subscript"/>
        <sz val="10"/>
        <rFont val="Times New Roman"/>
        <family val="1"/>
      </rPr>
      <t>OA(B)</t>
    </r>
    <r>
      <rPr>
        <sz val="10"/>
        <rFont val="Times New Roman"/>
        <family val="1"/>
      </rPr>
      <t xml:space="preserve"> + SDE</t>
    </r>
    <r>
      <rPr>
        <vertAlign val="subscript"/>
        <sz val="10"/>
        <rFont val="Times New Roman"/>
        <family val="1"/>
      </rPr>
      <t>OA(C)</t>
    </r>
  </si>
  <si>
    <r>
      <t>Total systemic inhalation exposure: SIE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= SIE</t>
    </r>
    <r>
      <rPr>
        <vertAlign val="subscript"/>
        <sz val="10"/>
        <rFont val="Times New Roman"/>
        <family val="1"/>
      </rPr>
      <t>OM</t>
    </r>
    <r>
      <rPr>
        <sz val="10"/>
        <rFont val="Times New Roman"/>
        <family val="1"/>
      </rPr>
      <t xml:space="preserve"> + SIE</t>
    </r>
    <r>
      <rPr>
        <vertAlign val="subscript"/>
        <sz val="10"/>
        <rFont val="Times New Roman"/>
        <family val="1"/>
      </rPr>
      <t>OA</t>
    </r>
  </si>
  <si>
    <t>Personal protective equipment:</t>
  </si>
  <si>
    <t>Personal protective equipment (PPE)</t>
  </si>
  <si>
    <t/>
  </si>
  <si>
    <t>% (concentr.)</t>
  </si>
  <si>
    <t>mg/person</t>
  </si>
  <si>
    <r>
      <t>SDE</t>
    </r>
    <r>
      <rPr>
        <vertAlign val="subscript"/>
        <sz val="10"/>
        <rFont val="Times New Roman"/>
        <family val="1"/>
      </rPr>
      <t>OM(H)</t>
    </r>
    <r>
      <rPr>
        <sz val="10"/>
        <rFont val="Times New Roman"/>
        <family val="1"/>
      </rPr>
      <t xml:space="preserve"> = (D</t>
    </r>
    <r>
      <rPr>
        <vertAlign val="subscript"/>
        <sz val="10"/>
        <rFont val="Times New Roman"/>
        <family val="1"/>
      </rPr>
      <t>M(H)</t>
    </r>
    <r>
      <rPr>
        <sz val="10"/>
        <rFont val="Times New Roman"/>
        <family val="1"/>
      </rPr>
      <t xml:space="preserve"> x AR x A x PPE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x DA) / BW</t>
    </r>
  </si>
  <si>
    <r>
      <t>SDE</t>
    </r>
    <r>
      <rPr>
        <vertAlign val="subscript"/>
        <sz val="10"/>
        <rFont val="Times New Roman"/>
        <family val="1"/>
      </rPr>
      <t>OA(H)</t>
    </r>
    <r>
      <rPr>
        <sz val="10"/>
        <rFont val="Times New Roman"/>
        <family val="1"/>
      </rPr>
      <t xml:space="preserve"> = (D</t>
    </r>
    <r>
      <rPr>
        <vertAlign val="subscript"/>
        <sz val="10"/>
        <rFont val="Times New Roman"/>
        <family val="1"/>
      </rPr>
      <t>A(H)</t>
    </r>
    <r>
      <rPr>
        <sz val="10"/>
        <rFont val="Times New Roman"/>
        <family val="1"/>
      </rPr>
      <t xml:space="preserve"> x AR x A x PPE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x DA) / BW</t>
    </r>
  </si>
  <si>
    <r>
      <t>SDE</t>
    </r>
    <r>
      <rPr>
        <vertAlign val="subscript"/>
        <sz val="10"/>
        <rFont val="Times New Roman"/>
        <family val="1"/>
      </rPr>
      <t>OA(B)</t>
    </r>
    <r>
      <rPr>
        <sz val="10"/>
        <rFont val="Times New Roman"/>
        <family val="1"/>
      </rPr>
      <t xml:space="preserve"> = (D</t>
    </r>
    <r>
      <rPr>
        <vertAlign val="subscript"/>
        <sz val="10"/>
        <rFont val="Times New Roman"/>
        <family val="1"/>
      </rPr>
      <t>A(B)</t>
    </r>
    <r>
      <rPr>
        <sz val="10"/>
        <rFont val="Times New Roman"/>
        <family val="1"/>
      </rPr>
      <t xml:space="preserve"> x AR x A x PPE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x DA) / BW</t>
    </r>
  </si>
  <si>
    <r>
      <t>SDE</t>
    </r>
    <r>
      <rPr>
        <vertAlign val="subscript"/>
        <sz val="10"/>
        <rFont val="Times New Roman"/>
        <family val="1"/>
      </rPr>
      <t>OA(C)</t>
    </r>
    <r>
      <rPr>
        <sz val="10"/>
        <rFont val="Times New Roman"/>
        <family val="1"/>
      </rPr>
      <t xml:space="preserve"> = (D</t>
    </r>
    <r>
      <rPr>
        <vertAlign val="subscript"/>
        <sz val="10"/>
        <rFont val="Times New Roman"/>
        <family val="1"/>
      </rPr>
      <t>A(C)</t>
    </r>
    <r>
      <rPr>
        <sz val="10"/>
        <rFont val="Times New Roman"/>
        <family val="1"/>
      </rPr>
      <t xml:space="preserve"> x AR x A x PPE </t>
    </r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>x DA) / BW</t>
    </r>
  </si>
  <si>
    <r>
      <t>4)</t>
    </r>
    <r>
      <rPr>
        <sz val="10"/>
        <rFont val="Times New Roman"/>
        <family val="1"/>
      </rPr>
      <t xml:space="preserve"> reduction factor for RPE is 0.08 (particle filter) and 0.02 (combined vapour and particle filter), resp. (prof. appl.)</t>
    </r>
  </si>
  <si>
    <r>
      <t>1)</t>
    </r>
    <r>
      <rPr>
        <sz val="10"/>
        <rFont val="Times New Roman"/>
        <family val="1"/>
      </rPr>
      <t xml:space="preserve"> reduction factor for gloves is 0.01 (professional applications) and 0.5 (home/allotment garden applications), resp.</t>
    </r>
  </si>
  <si>
    <r>
      <t>2)</t>
    </r>
    <r>
      <rPr>
        <sz val="10"/>
        <rFont val="Times New Roman"/>
        <family val="1"/>
      </rPr>
      <t xml:space="preserve"> reduction factor for protective garment is 0.05 (prof. appl.) and 0.5 (workwear, home/allotment garden appl.), resp.</t>
    </r>
  </si>
  <si>
    <r>
      <t>3)</t>
    </r>
    <r>
      <rPr>
        <sz val="10"/>
        <rFont val="Times New Roman"/>
        <family val="1"/>
      </rPr>
      <t xml:space="preserve"> reduction factor for broad brimmed headgear and hood and visor is 0.5 and 0.05, respectively (professional appl.)</t>
    </r>
  </si>
  <si>
    <r>
      <t xml:space="preserve">Particle filtering half mask (m/l) </t>
    </r>
    <r>
      <rPr>
        <vertAlign val="superscript"/>
        <sz val="10"/>
        <rFont val="Arial"/>
        <family val="2"/>
      </rPr>
      <t>1)</t>
    </r>
  </si>
  <si>
    <r>
      <t xml:space="preserve">Half mask with combined filter (m/l) </t>
    </r>
    <r>
      <rPr>
        <vertAlign val="superscript"/>
        <sz val="10"/>
        <rFont val="Arial"/>
        <family val="2"/>
      </rPr>
      <t>1)</t>
    </r>
  </si>
  <si>
    <r>
      <t xml:space="preserve">Particle filtering half mask (appl.) </t>
    </r>
    <r>
      <rPr>
        <vertAlign val="superscript"/>
        <sz val="10"/>
        <rFont val="Arial"/>
        <family val="2"/>
      </rPr>
      <t>1)</t>
    </r>
  </si>
  <si>
    <r>
      <t xml:space="preserve">Half mask with combined filter (appl.) </t>
    </r>
    <r>
      <rPr>
        <vertAlign val="superscript"/>
        <sz val="10"/>
        <rFont val="Arial"/>
        <family val="2"/>
      </rPr>
      <t>1)</t>
    </r>
  </si>
  <si>
    <r>
      <t xml:space="preserve">Protective gloves (m/l) </t>
    </r>
    <r>
      <rPr>
        <vertAlign val="superscript"/>
        <sz val="10"/>
        <rFont val="Arial"/>
        <family val="2"/>
      </rPr>
      <t>2)</t>
    </r>
  </si>
  <si>
    <r>
      <t xml:space="preserve">Protective gloves (appl.) </t>
    </r>
    <r>
      <rPr>
        <vertAlign val="superscript"/>
        <sz val="10"/>
        <rFont val="Arial"/>
        <family val="2"/>
      </rPr>
      <t>2)</t>
    </r>
  </si>
  <si>
    <r>
      <t xml:space="preserve">Broad-brimmed headgear (appl.) </t>
    </r>
    <r>
      <rPr>
        <vertAlign val="superscript"/>
        <sz val="10"/>
        <rFont val="Arial"/>
        <family val="2"/>
      </rPr>
      <t>2)</t>
    </r>
  </si>
  <si>
    <r>
      <t xml:space="preserve">Hood and visor (appl.) </t>
    </r>
    <r>
      <rPr>
        <vertAlign val="superscript"/>
        <sz val="10"/>
        <rFont val="Arial"/>
        <family val="2"/>
      </rPr>
      <t>2)</t>
    </r>
  </si>
  <si>
    <r>
      <t xml:space="preserve"> </t>
    </r>
    <r>
      <rPr>
        <vertAlign val="superscript"/>
        <sz val="10"/>
        <rFont val="Arial"/>
        <family val="2"/>
      </rPr>
      <t>1)</t>
    </r>
    <r>
      <rPr>
        <sz val="8"/>
        <rFont val="Arial"/>
        <family val="2"/>
      </rPr>
      <t xml:space="preserve"> DIN EN 149 (2001),  </t>
    </r>
    <r>
      <rPr>
        <vertAlign val="superscript"/>
        <sz val="10"/>
        <rFont val="Arial"/>
        <family val="2"/>
      </rPr>
      <t>2)</t>
    </r>
    <r>
      <rPr>
        <sz val="8"/>
        <rFont val="Arial"/>
        <family val="2"/>
      </rPr>
      <t xml:space="preserve"> BVL (2006) Guidelines for requirements concerning personal protective equipment in plant protection</t>
    </r>
  </si>
  <si>
    <t xml:space="preserve"> Dermal absorption (DA)</t>
  </si>
  <si>
    <t xml:space="preserve"> Inhalation absorption (IA)</t>
  </si>
  <si>
    <t xml:space="preserve"> Intended use(s)</t>
  </si>
  <si>
    <t>Total systemic exposure</t>
  </si>
  <si>
    <t>External dermal exposure</t>
  </si>
  <si>
    <t>Systemic dermal exposure</t>
  </si>
  <si>
    <t>Total external dermal exposure</t>
  </si>
  <si>
    <t>Total systemic dermal exposure</t>
  </si>
  <si>
    <t>External inhalation exposure</t>
  </si>
  <si>
    <t>Systemic inhalation exposure</t>
  </si>
  <si>
    <t>Total external inhalation exposure</t>
  </si>
  <si>
    <t>Total systemic inhalation exposure</t>
  </si>
  <si>
    <r>
      <t>Dermal exposure during mixing/loading</t>
    </r>
    <r>
      <rPr>
        <b/>
        <u val="single"/>
        <sz val="10"/>
        <rFont val="Times New Roman"/>
        <family val="1"/>
      </rPr>
      <t xml:space="preserve"> </t>
    </r>
  </si>
  <si>
    <r>
      <t>Dermal exposure during application</t>
    </r>
    <r>
      <rPr>
        <b/>
        <u val="single"/>
        <sz val="10"/>
        <rFont val="Times New Roman"/>
        <family val="1"/>
      </rPr>
      <t xml:space="preserve"> </t>
    </r>
  </si>
  <si>
    <r>
      <t>SIE</t>
    </r>
    <r>
      <rPr>
        <vertAlign val="subscript"/>
        <sz val="10"/>
        <rFont val="Times New Roman"/>
        <family val="1"/>
      </rPr>
      <t>OM</t>
    </r>
    <r>
      <rPr>
        <sz val="10"/>
        <rFont val="Times New Roman"/>
        <family val="1"/>
      </rPr>
      <t xml:space="preserve"> = (I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x AR x A x IA) / BW</t>
    </r>
  </si>
  <si>
    <r>
      <t>SIE</t>
    </r>
    <r>
      <rPr>
        <vertAlign val="subscript"/>
        <sz val="10"/>
        <rFont val="Times New Roman"/>
        <family val="1"/>
      </rPr>
      <t>OM</t>
    </r>
    <r>
      <rPr>
        <sz val="10"/>
        <rFont val="Times New Roman"/>
        <family val="1"/>
      </rPr>
      <t xml:space="preserve"> = (I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x AR x A x PPE 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x IA) / BW</t>
    </r>
  </si>
  <si>
    <t>Inhalation exposure during mixing/loading</t>
  </si>
  <si>
    <t>Inhalation exposure during application</t>
  </si>
  <si>
    <t xml:space="preserve"> Estimation of operator exposure (acc. to the German model) </t>
  </si>
  <si>
    <t>High Crops, Tractor Mounted (HCTM)</t>
  </si>
  <si>
    <t>High Crops, Hand Held (HCHH)</t>
  </si>
  <si>
    <t>Home and allotment Garden area (HG)</t>
  </si>
  <si>
    <r>
      <t xml:space="preserve">Protective garment + sturdy footwear (appl.) </t>
    </r>
    <r>
      <rPr>
        <vertAlign val="superscript"/>
        <sz val="10"/>
        <rFont val="Arial"/>
        <family val="2"/>
      </rPr>
      <t>2)</t>
    </r>
  </si>
  <si>
    <r>
      <t>I</t>
    </r>
    <r>
      <rPr>
        <vertAlign val="subscript"/>
        <sz val="10"/>
        <rFont val="Arial"/>
        <family val="2"/>
      </rPr>
      <t>M</t>
    </r>
  </si>
  <si>
    <r>
      <t>I</t>
    </r>
    <r>
      <rPr>
        <vertAlign val="subscript"/>
        <sz val="10"/>
        <rFont val="Arial"/>
        <family val="2"/>
      </rPr>
      <t>A</t>
    </r>
  </si>
  <si>
    <r>
      <t>D</t>
    </r>
    <r>
      <rPr>
        <vertAlign val="subscript"/>
        <sz val="10"/>
        <rFont val="Arial"/>
        <family val="2"/>
      </rPr>
      <t>M(H)</t>
    </r>
  </si>
  <si>
    <r>
      <t>D</t>
    </r>
    <r>
      <rPr>
        <vertAlign val="subscript"/>
        <sz val="10"/>
        <rFont val="Arial"/>
        <family val="2"/>
      </rPr>
      <t>A(H)</t>
    </r>
  </si>
  <si>
    <r>
      <t>D</t>
    </r>
    <r>
      <rPr>
        <vertAlign val="subscript"/>
        <sz val="10"/>
        <rFont val="Arial"/>
        <family val="2"/>
      </rPr>
      <t>A(C)</t>
    </r>
  </si>
  <si>
    <r>
      <t>D</t>
    </r>
    <r>
      <rPr>
        <vertAlign val="subscript"/>
        <sz val="10"/>
        <rFont val="Arial"/>
        <family val="2"/>
      </rPr>
      <t>A(B)</t>
    </r>
  </si>
  <si>
    <r>
      <t>SIE</t>
    </r>
    <r>
      <rPr>
        <vertAlign val="subscript"/>
        <sz val="10"/>
        <rFont val="Times New Roman"/>
        <family val="1"/>
      </rPr>
      <t>OA</t>
    </r>
    <r>
      <rPr>
        <sz val="10"/>
        <rFont val="Times New Roman"/>
        <family val="1"/>
      </rPr>
      <t xml:space="preserve"> = (I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x AR x A x IA) / BW</t>
    </r>
  </si>
  <si>
    <r>
      <t>SIE</t>
    </r>
    <r>
      <rPr>
        <vertAlign val="subscript"/>
        <sz val="10"/>
        <rFont val="Times New Roman"/>
        <family val="1"/>
      </rPr>
      <t>OA</t>
    </r>
    <r>
      <rPr>
        <sz val="10"/>
        <rFont val="Times New Roman"/>
        <family val="1"/>
      </rPr>
      <t xml:space="preserve"> = (I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x AR x A x PPE </t>
    </r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x IA) / BW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</si>
</sst>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.000000"/>
    <numFmt numFmtId="183" formatCode="0.0000"/>
    <numFmt numFmtId="184" formatCode="0.00000"/>
    <numFmt numFmtId="185" formatCode="0.0000000"/>
    <numFmt numFmtId="186" formatCode="00000"/>
    <numFmt numFmtId="187" formatCode="0.00000000"/>
    <numFmt numFmtId="188" formatCode="m/d/yy"/>
    <numFmt numFmtId="189" formatCode="[$-407]dddd\,\ d\.\ mmmm\ yyyy"/>
    <numFmt numFmtId="190" formatCode="dd/mm/yy;@"/>
    <numFmt numFmtId="191" formatCode="dd/mm/yy"/>
    <numFmt numFmtId="192" formatCode="General_)"/>
    <numFmt numFmtId="193" formatCode="_-* #,##0.00\ [$€]_-;\-* #,##0.00\ [$€]_-;_-* &quot;-&quot;??\ [$€]_-;_-@_-"/>
    <numFmt numFmtId="194" formatCode="#,##0.00000\ &quot;€&quot;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0.000000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2"/>
      <name val="Anelia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6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2" fontId="4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0" fillId="2" borderId="3" xfId="0" applyFont="1" applyFill="1" applyBorder="1" applyAlignment="1">
      <alignment vertical="center"/>
    </xf>
    <xf numFmtId="0" fontId="6" fillId="3" borderId="2" xfId="0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2" fontId="10" fillId="0" borderId="0" xfId="0" applyNumberFormat="1" applyFont="1" applyFill="1" applyBorder="1" applyAlignment="1" applyProtection="1">
      <alignment/>
      <protection locked="0"/>
    </xf>
    <xf numFmtId="183" fontId="5" fillId="0" borderId="0" xfId="0" applyNumberFormat="1" applyFont="1" applyFill="1" applyBorder="1" applyAlignment="1" applyProtection="1">
      <alignment/>
      <protection locked="0"/>
    </xf>
    <xf numFmtId="183" fontId="10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181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7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wrapText="1"/>
      <protection locked="0"/>
    </xf>
    <xf numFmtId="184" fontId="5" fillId="0" borderId="0" xfId="0" applyNumberFormat="1" applyFont="1" applyFill="1" applyBorder="1" applyAlignment="1">
      <alignment horizontal="left"/>
    </xf>
    <xf numFmtId="184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Fill="1" applyBorder="1" applyAlignment="1">
      <alignment vertical="top"/>
    </xf>
    <xf numFmtId="185" fontId="5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82" fontId="14" fillId="0" borderId="2" xfId="0" applyNumberFormat="1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182" fontId="14" fillId="0" borderId="13" xfId="0" applyNumberFormat="1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81" fontId="14" fillId="0" borderId="13" xfId="0" applyNumberFormat="1" applyFont="1" applyBorder="1" applyAlignment="1">
      <alignment vertical="center" wrapText="1"/>
    </xf>
    <xf numFmtId="0" fontId="8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184" fontId="13" fillId="0" borderId="19" xfId="0" applyNumberFormat="1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184" fontId="13" fillId="0" borderId="21" xfId="0" applyNumberFormat="1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182" fontId="13" fillId="0" borderId="23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/>
    </xf>
    <xf numFmtId="0" fontId="13" fillId="0" borderId="13" xfId="0" applyFont="1" applyBorder="1" applyAlignment="1">
      <alignment horizontal="right" vertical="center" wrapText="1"/>
    </xf>
    <xf numFmtId="0" fontId="0" fillId="0" borderId="15" xfId="0" applyFont="1" applyFill="1" applyBorder="1" applyAlignment="1">
      <alignment vertical="center"/>
    </xf>
    <xf numFmtId="0" fontId="13" fillId="0" borderId="2" xfId="0" applyNumberFormat="1" applyFont="1" applyBorder="1" applyAlignment="1">
      <alignment vertical="center" wrapText="1"/>
    </xf>
    <xf numFmtId="0" fontId="13" fillId="0" borderId="23" xfId="0" applyNumberFormat="1" applyFont="1" applyBorder="1" applyAlignment="1">
      <alignment vertical="center" wrapText="1"/>
    </xf>
    <xf numFmtId="0" fontId="14" fillId="0" borderId="13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181" fontId="6" fillId="0" borderId="0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3" borderId="2" xfId="0" applyNumberFormat="1" applyFont="1" applyFill="1" applyBorder="1" applyAlignment="1" applyProtection="1">
      <alignment horizontal="left" vertical="center"/>
      <protection locked="0"/>
    </xf>
    <xf numFmtId="0" fontId="6" fillId="3" borderId="6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7" fillId="0" borderId="1" xfId="0" applyFont="1" applyBorder="1" applyAlignment="1">
      <alignment horizontal="justify"/>
    </xf>
    <xf numFmtId="0" fontId="17" fillId="0" borderId="0" xfId="0" applyFont="1" applyBorder="1" applyAlignment="1">
      <alignment horizontal="justify"/>
    </xf>
    <xf numFmtId="0" fontId="17" fillId="0" borderId="17" xfId="0" applyFont="1" applyBorder="1" applyAlignment="1">
      <alignment horizontal="justify"/>
    </xf>
    <xf numFmtId="0" fontId="17" fillId="0" borderId="27" xfId="0" applyFont="1" applyBorder="1" applyAlignment="1">
      <alignment horizontal="justify"/>
    </xf>
    <xf numFmtId="0" fontId="17" fillId="0" borderId="28" xfId="0" applyFont="1" applyBorder="1" applyAlignment="1">
      <alignment horizontal="justify"/>
    </xf>
    <xf numFmtId="0" fontId="17" fillId="0" borderId="29" xfId="0" applyFont="1" applyBorder="1" applyAlignment="1">
      <alignment horizontal="justify"/>
    </xf>
    <xf numFmtId="0" fontId="13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84" fontId="13" fillId="0" borderId="30" xfId="0" applyNumberFormat="1" applyFont="1" applyBorder="1" applyAlignment="1">
      <alignment vertical="center" wrapText="1"/>
    </xf>
    <xf numFmtId="184" fontId="13" fillId="0" borderId="19" xfId="0" applyNumberFormat="1" applyFont="1" applyBorder="1" applyAlignment="1">
      <alignment vertical="center" wrapText="1"/>
    </xf>
    <xf numFmtId="184" fontId="13" fillId="0" borderId="21" xfId="0" applyNumberFormat="1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14" fontId="6" fillId="3" borderId="2" xfId="0" applyNumberFormat="1" applyFont="1" applyFill="1" applyBorder="1" applyAlignment="1" applyProtection="1">
      <alignment horizontal="left" vertical="center"/>
      <protection locked="0"/>
    </xf>
    <xf numFmtId="0" fontId="18" fillId="0" borderId="3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14" fillId="0" borderId="35" xfId="0" applyFont="1" applyBorder="1" applyAlignment="1">
      <alignment vertical="center" wrapText="1"/>
    </xf>
    <xf numFmtId="0" fontId="0" fillId="2" borderId="36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14" fillId="0" borderId="3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0" fillId="2" borderId="20" xfId="0" applyFont="1" applyFill="1" applyBorder="1" applyAlignment="1">
      <alignment vertical="center"/>
    </xf>
  </cellXfs>
  <cellStyles count="14">
    <cellStyle name="Normal" xfId="0"/>
    <cellStyle name="Followed Hyperlink" xfId="15"/>
    <cellStyle name="Comma [0]_IBC German model" xfId="16"/>
    <cellStyle name="Comma_IBC German model" xfId="17"/>
    <cellStyle name="Currency [0]_IBC German model" xfId="18"/>
    <cellStyle name="Currency_IBC German model" xfId="19"/>
    <cellStyle name="Comma" xfId="20"/>
    <cellStyle name="Comma [0]" xfId="21"/>
    <cellStyle name="Euro" xfId="22"/>
    <cellStyle name="Hyperlink" xfId="23"/>
    <cellStyle name="Normal_IBC German model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8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6</xdr:col>
      <xdr:colOff>0</xdr:colOff>
      <xdr:row>6</xdr:row>
      <xdr:rowOff>47625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809625"/>
          <a:ext cx="40100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342900</xdr:colOff>
      <xdr:row>17</xdr:row>
      <xdr:rowOff>19050</xdr:rowOff>
    </xdr:from>
    <xdr:to>
      <xdr:col>5</xdr:col>
      <xdr:colOff>495300</xdr:colOff>
      <xdr:row>18</xdr:row>
      <xdr:rowOff>28575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28289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18</xdr:row>
      <xdr:rowOff>19050</xdr:rowOff>
    </xdr:from>
    <xdr:to>
      <xdr:col>5</xdr:col>
      <xdr:colOff>495300</xdr:colOff>
      <xdr:row>19</xdr:row>
      <xdr:rowOff>19050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306705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19</xdr:row>
      <xdr:rowOff>123825</xdr:rowOff>
    </xdr:from>
    <xdr:to>
      <xdr:col>5</xdr:col>
      <xdr:colOff>495300</xdr:colOff>
      <xdr:row>20</xdr:row>
      <xdr:rowOff>123825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340995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21</xdr:row>
      <xdr:rowOff>200025</xdr:rowOff>
    </xdr:from>
    <xdr:to>
      <xdr:col>5</xdr:col>
      <xdr:colOff>485775</xdr:colOff>
      <xdr:row>22</xdr:row>
      <xdr:rowOff>57150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96240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23</xdr:row>
      <xdr:rowOff>9525</xdr:rowOff>
    </xdr:from>
    <xdr:to>
      <xdr:col>5</xdr:col>
      <xdr:colOff>485775</xdr:colOff>
      <xdr:row>24</xdr:row>
      <xdr:rowOff>9525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439102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24</xdr:row>
      <xdr:rowOff>9525</xdr:rowOff>
    </xdr:from>
    <xdr:to>
      <xdr:col>5</xdr:col>
      <xdr:colOff>485775</xdr:colOff>
      <xdr:row>25</xdr:row>
      <xdr:rowOff>9525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462915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25</xdr:row>
      <xdr:rowOff>85725</xdr:rowOff>
    </xdr:from>
    <xdr:to>
      <xdr:col>5</xdr:col>
      <xdr:colOff>485775</xdr:colOff>
      <xdr:row>25</xdr:row>
      <xdr:rowOff>323850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494347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26</xdr:row>
      <xdr:rowOff>9525</xdr:rowOff>
    </xdr:from>
    <xdr:to>
      <xdr:col>5</xdr:col>
      <xdr:colOff>485775</xdr:colOff>
      <xdr:row>27</xdr:row>
      <xdr:rowOff>9525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524827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27</xdr:row>
      <xdr:rowOff>0</xdr:rowOff>
    </xdr:from>
    <xdr:to>
      <xdr:col>5</xdr:col>
      <xdr:colOff>485775</xdr:colOff>
      <xdr:row>28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5476875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28575</xdr:rowOff>
    </xdr:from>
    <xdr:to>
      <xdr:col>6</xdr:col>
      <xdr:colOff>0</xdr:colOff>
      <xdr:row>7</xdr:row>
      <xdr:rowOff>76200</xdr:rowOff>
    </xdr:to>
    <xdr:pic>
      <xdr:nvPicPr>
        <xdr:cNvPr id="1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019175"/>
          <a:ext cx="40100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R164"/>
  <sheetViews>
    <sheetView showGridLines="0" showZeros="0" tabSelected="1"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8.57421875" style="1" customWidth="1"/>
    <col min="3" max="3" width="13.7109375" style="1" customWidth="1"/>
    <col min="4" max="4" width="23.57421875" style="1" customWidth="1"/>
    <col min="5" max="5" width="8.57421875" style="1" customWidth="1"/>
    <col min="6" max="6" width="14.28125" style="1" customWidth="1"/>
    <col min="7" max="7" width="6.8515625" style="1" customWidth="1"/>
    <col min="8" max="8" width="8.00390625" style="1" customWidth="1"/>
    <col min="9" max="9" width="8.00390625" style="1" hidden="1" customWidth="1"/>
    <col min="10" max="10" width="37.28125" style="1" hidden="1" customWidth="1"/>
    <col min="11" max="11" width="9.8515625" style="1" hidden="1" customWidth="1"/>
    <col min="12" max="12" width="9.7109375" style="1" hidden="1" customWidth="1"/>
    <col min="13" max="13" width="7.421875" style="1" hidden="1" customWidth="1"/>
    <col min="14" max="14" width="4.57421875" style="1" hidden="1" customWidth="1"/>
    <col min="15" max="16" width="6.8515625" style="1" hidden="1" customWidth="1"/>
    <col min="17" max="17" width="6.8515625" style="1" customWidth="1"/>
    <col min="18" max="16384" width="11.421875" style="1" customWidth="1"/>
  </cols>
  <sheetData>
    <row r="1" spans="1:10" ht="12.75" customHeight="1">
      <c r="A1" s="88" t="s">
        <v>104</v>
      </c>
      <c r="B1" s="89"/>
      <c r="C1" s="90"/>
      <c r="D1" s="90"/>
      <c r="E1" s="90"/>
      <c r="F1" s="91"/>
      <c r="G1" s="36"/>
      <c r="J1" s="1" t="s">
        <v>1</v>
      </c>
    </row>
    <row r="2" spans="1:10" ht="12.75" customHeight="1">
      <c r="A2" s="13"/>
      <c r="B2" s="14"/>
      <c r="C2" s="14"/>
      <c r="D2" s="14"/>
      <c r="E2" s="14"/>
      <c r="F2" s="92"/>
      <c r="G2" s="2"/>
      <c r="J2" s="2" t="s">
        <v>105</v>
      </c>
    </row>
    <row r="3" spans="1:13" ht="12.75" customHeight="1">
      <c r="A3" s="7" t="s">
        <v>16</v>
      </c>
      <c r="B3" s="14"/>
      <c r="C3" s="153"/>
      <c r="D3" s="153"/>
      <c r="E3" s="153"/>
      <c r="F3" s="121"/>
      <c r="G3" s="40"/>
      <c r="J3" s="1" t="s">
        <v>106</v>
      </c>
      <c r="M3" s="1">
        <f>IF(D6=J1,1,IF(D6=J2,2,IF(D6=J3,3,IF(D6=J4,4,0))))</f>
        <v>0</v>
      </c>
    </row>
    <row r="4" spans="1:13" ht="12.75" customHeight="1">
      <c r="A4" s="8" t="s">
        <v>0</v>
      </c>
      <c r="B4" s="14"/>
      <c r="C4" s="122"/>
      <c r="D4" s="122"/>
      <c r="E4" s="122"/>
      <c r="F4" s="123"/>
      <c r="G4" s="40"/>
      <c r="J4" s="1" t="s">
        <v>107</v>
      </c>
      <c r="M4" s="1">
        <f>IF(M3=1,"FCTM",IF(M3=2,"HCTM",IF(M3=3,"HCHH",IF(M3=4,"HG",0))))</f>
        <v>0</v>
      </c>
    </row>
    <row r="5" spans="1:7" ht="12.75" customHeight="1">
      <c r="A5" s="8" t="s">
        <v>88</v>
      </c>
      <c r="B5" s="14"/>
      <c r="C5" s="126" t="s">
        <v>25</v>
      </c>
      <c r="D5" s="126"/>
      <c r="E5" s="126"/>
      <c r="F5" s="127"/>
      <c r="G5" s="40"/>
    </row>
    <row r="6" spans="1:15" ht="14.25" customHeight="1">
      <c r="A6" s="8"/>
      <c r="B6" s="14"/>
      <c r="C6" s="11"/>
      <c r="D6" s="12" t="s">
        <v>66</v>
      </c>
      <c r="E6" s="10"/>
      <c r="F6" s="93"/>
      <c r="G6" s="41"/>
      <c r="J6" s="3" t="b">
        <v>0</v>
      </c>
      <c r="K6" s="3">
        <f>IF(J6=TRUE,1,0)</f>
        <v>0</v>
      </c>
      <c r="L6" s="3">
        <f>IF(K6=1,C18,0)</f>
        <v>0</v>
      </c>
      <c r="O6" s="1">
        <f>IF(AND(K7=0,K6&gt;0),C18&amp;" ","")</f>
      </c>
    </row>
    <row r="7" spans="1:15" ht="14.25" customHeight="1">
      <c r="A7" s="8" t="s">
        <v>22</v>
      </c>
      <c r="B7" s="14"/>
      <c r="C7" s="9"/>
      <c r="D7" s="18"/>
      <c r="E7" s="18"/>
      <c r="F7" s="94"/>
      <c r="G7" s="42"/>
      <c r="J7" s="3" t="b">
        <v>0</v>
      </c>
      <c r="K7" s="3">
        <f>IF(J7=TRUE,2,0)</f>
        <v>0</v>
      </c>
      <c r="L7" s="3">
        <f>IF(K7=2,C19,0)</f>
        <v>0</v>
      </c>
      <c r="O7" s="1">
        <f>IF(AND(K6=0,K7&gt;0),C19&amp;" ","")</f>
      </c>
    </row>
    <row r="8" spans="1:15" ht="14.25" customHeight="1">
      <c r="A8" s="8"/>
      <c r="B8" s="14"/>
      <c r="C8" s="9"/>
      <c r="D8" s="19"/>
      <c r="E8" s="19"/>
      <c r="F8" s="95"/>
      <c r="G8" s="43"/>
      <c r="J8" s="3" t="b">
        <v>0</v>
      </c>
      <c r="K8" s="3">
        <f>IF(J8=TRUE,3,0)</f>
        <v>0</v>
      </c>
      <c r="L8" s="3">
        <f>IF(K8=3,C20,0)</f>
        <v>0</v>
      </c>
      <c r="O8" s="1">
        <f>IF(AND(K16&lt;&gt;9,K8&gt;0,K10=0),C20&amp;" ","")</f>
      </c>
    </row>
    <row r="9" spans="1:12" ht="12.75" customHeight="1">
      <c r="A9" s="8" t="s">
        <v>2</v>
      </c>
      <c r="B9" s="14"/>
      <c r="C9" s="16"/>
      <c r="D9" s="9" t="s">
        <v>21</v>
      </c>
      <c r="E9" s="9"/>
      <c r="F9" s="96"/>
      <c r="G9" s="36"/>
      <c r="L9" s="3"/>
    </row>
    <row r="10" spans="1:15" ht="12.75" customHeight="1">
      <c r="A10" s="8" t="s">
        <v>3</v>
      </c>
      <c r="B10" s="14"/>
      <c r="C10" s="20">
        <f>IF(M3=1,20,IF(M3=2,8,IF(M3=3,1,IF(M3=4,0.05,0))))</f>
        <v>0</v>
      </c>
      <c r="D10" s="9" t="s">
        <v>4</v>
      </c>
      <c r="E10" s="9"/>
      <c r="F10" s="96"/>
      <c r="G10" s="36"/>
      <c r="J10" s="3" t="b">
        <v>0</v>
      </c>
      <c r="K10" s="3">
        <f>IF(J10=TRUE,4,0)</f>
        <v>0</v>
      </c>
      <c r="L10" s="3">
        <f>IF(K10=4,C22,0)</f>
        <v>0</v>
      </c>
      <c r="O10" s="1">
        <f>IF(AND(K16&lt;&gt;9,K10&gt;0,K8=0),C22&amp;" ","")</f>
      </c>
    </row>
    <row r="11" spans="1:12" ht="12.75" customHeight="1">
      <c r="A11" s="8" t="s">
        <v>5</v>
      </c>
      <c r="B11" s="14"/>
      <c r="C11" s="15"/>
      <c r="D11" s="9" t="s">
        <v>19</v>
      </c>
      <c r="E11" s="9"/>
      <c r="F11" s="96"/>
      <c r="G11" s="36"/>
      <c r="L11" s="3"/>
    </row>
    <row r="12" spans="1:15" ht="12.75" customHeight="1">
      <c r="A12" s="8" t="s">
        <v>86</v>
      </c>
      <c r="B12" s="14"/>
      <c r="C12" s="16"/>
      <c r="D12" s="9" t="s">
        <v>23</v>
      </c>
      <c r="E12" s="9"/>
      <c r="F12" s="96"/>
      <c r="G12" s="36"/>
      <c r="J12" s="3" t="b">
        <v>0</v>
      </c>
      <c r="K12" s="3">
        <f>IF(J12=TRUE,5,0)</f>
        <v>0</v>
      </c>
      <c r="L12" s="3">
        <f>IF(K12=5,C24,0)</f>
        <v>0</v>
      </c>
      <c r="M12" s="1" t="str">
        <f>IF(AND($K$8=3,$K$10=0),$C$20,IF(AND($K$8=0,$K$10=4),$C$22,IF(AND($K$8=0,$K$10=0),"no PPE",IF(AND($K$8=3,$K$10=4),"not possible",0))))</f>
        <v>no PPE</v>
      </c>
      <c r="N12" s="23">
        <f>IF(AND($K$8=3,$K$10=0),$D$21,IF(AND($K$8=0,$K$10=4),$D$23,1))</f>
        <v>1</v>
      </c>
      <c r="O12" s="1">
        <f>IF(K12&gt;0,C24&amp;" ","")</f>
      </c>
    </row>
    <row r="13" spans="1:15" ht="12.75" customHeight="1">
      <c r="A13" s="8"/>
      <c r="B13" s="14"/>
      <c r="C13" s="16"/>
      <c r="D13" s="9" t="s">
        <v>24</v>
      </c>
      <c r="E13" s="9"/>
      <c r="F13" s="96"/>
      <c r="G13" s="36"/>
      <c r="J13" s="3" t="b">
        <v>0</v>
      </c>
      <c r="K13" s="3">
        <f>IF(J13=TRUE,6,0)</f>
        <v>0</v>
      </c>
      <c r="L13" s="3">
        <f>IF(K13=6,C25,0)</f>
        <v>0</v>
      </c>
      <c r="M13" s="1" t="str">
        <f>IF(AND($K$15=8,$K$16=0),$C$27,IF(AND($K$15=0,$K$16=9),$C$28,IF(AND($K$15=0,$K$16=0),"no PPE",IF(AND($K$15=8,$K$16=9),"not possible",0))))</f>
        <v>no PPE</v>
      </c>
      <c r="N13" s="23">
        <f>IF(AND($K$15=8,$K$16=0),$D$27,IF(AND($K$15=0,$K$16=9),$D$28,IF(AND($K$15=0,$K$16=0),1,IF(AND($K$15=8,$K$16=9),$D$27*$D$28,0))))</f>
        <v>1</v>
      </c>
      <c r="O13" s="1">
        <f>IF(K13&gt;0,C25&amp;" ","")</f>
      </c>
    </row>
    <row r="14" spans="1:15" ht="12.75" customHeight="1">
      <c r="A14" s="8" t="s">
        <v>87</v>
      </c>
      <c r="B14" s="14"/>
      <c r="C14" s="17">
        <v>100</v>
      </c>
      <c r="D14" s="9" t="s">
        <v>6</v>
      </c>
      <c r="E14" s="9"/>
      <c r="F14" s="96"/>
      <c r="G14" s="36"/>
      <c r="J14" s="3" t="b">
        <v>0</v>
      </c>
      <c r="K14" s="3">
        <f>IF(J14=TRUE,7,0)</f>
        <v>0</v>
      </c>
      <c r="L14" s="3">
        <f>IF(K14=7,C26,0)</f>
        <v>0</v>
      </c>
      <c r="M14" s="1" t="str">
        <f>IF(AND(M12="no PPE",M13="no PPE"),"no PPE",IF(AND(M13="no PPE",OR(K8=3,K10=4)),M12,IF(AND(M12="no PPE",OR(K15=8,K16=9)),M13,IF(AND(OR(K8=3,K10=4),K15=8),M12&amp;", "&amp;M13,IF(AND(OR(K8=3,K10=4),K16=9),M13)))))</f>
        <v>no PPE</v>
      </c>
      <c r="N14" s="23">
        <f>IF(M13="not possible",1,IF(AND(M12="no PPE",M13="no PPE"),1,IF(AND(M13="no PPE",OR(K8=3,K10=4)),N12,IF(AND(M12="no PPE",OR(K15=8,K16=9)),N13,IF(AND(OR(K8=3,K10=4),K15=8),N12*N13,IF(AND(OR(K8=3,K10=4),K16=9),N13))))))</f>
        <v>1</v>
      </c>
      <c r="O14" s="1">
        <f>IF(K14&gt;0,C26&amp;" ","")</f>
      </c>
    </row>
    <row r="15" spans="1:15" ht="12.75" customHeight="1">
      <c r="A15" s="8" t="s">
        <v>20</v>
      </c>
      <c r="B15" s="14"/>
      <c r="C15" s="22">
        <v>70</v>
      </c>
      <c r="D15" s="9" t="s">
        <v>7</v>
      </c>
      <c r="E15" s="9"/>
      <c r="F15" s="96"/>
      <c r="G15" s="36"/>
      <c r="J15" s="3" t="b">
        <v>0</v>
      </c>
      <c r="K15" s="3">
        <f>IF(J15=TRUE,8,0)</f>
        <v>0</v>
      </c>
      <c r="L15" s="3">
        <f>IF(K15=8,C27,0)</f>
        <v>0</v>
      </c>
      <c r="O15" s="1">
        <f>IF(K15&gt;0,C27&amp;" ","")</f>
      </c>
    </row>
    <row r="16" spans="1:15" ht="12.75" customHeight="1" thickBot="1">
      <c r="A16" s="8"/>
      <c r="B16" s="14"/>
      <c r="C16" s="28"/>
      <c r="D16" s="9"/>
      <c r="E16" s="9"/>
      <c r="F16" s="96"/>
      <c r="G16" s="36"/>
      <c r="J16" s="3" t="b">
        <v>0</v>
      </c>
      <c r="K16" s="3">
        <f>IF(J16=TRUE,9,0)</f>
        <v>0</v>
      </c>
      <c r="L16" s="3">
        <f>IF(K16=9,C28,0)</f>
        <v>0</v>
      </c>
      <c r="O16" s="1">
        <f>IF(K16&gt;0,C28&amp;" ","")</f>
      </c>
    </row>
    <row r="17" spans="1:7" ht="12.75" customHeight="1">
      <c r="A17" s="75" t="s">
        <v>64</v>
      </c>
      <c r="B17" s="76"/>
      <c r="C17" s="25" t="s">
        <v>26</v>
      </c>
      <c r="D17" s="25" t="s">
        <v>17</v>
      </c>
      <c r="E17" s="25" t="s">
        <v>13</v>
      </c>
      <c r="F17" s="26"/>
      <c r="G17" s="36"/>
    </row>
    <row r="18" spans="1:14" ht="18.75" customHeight="1">
      <c r="A18" s="163" t="s">
        <v>77</v>
      </c>
      <c r="B18" s="164"/>
      <c r="C18" s="24" t="str">
        <f>IF(M3&lt;4,"ST1102",0)</f>
        <v>ST1102</v>
      </c>
      <c r="D18" s="24">
        <v>0.08</v>
      </c>
      <c r="E18" s="24" t="s">
        <v>109</v>
      </c>
      <c r="F18" s="27"/>
      <c r="G18" s="2"/>
      <c r="M18" s="1" t="str">
        <f>IF(AND(K12=5,K13=6),"SS201, SS703","no PPE")</f>
        <v>no PPE</v>
      </c>
      <c r="N18" s="1">
        <f>IF(AND(K12=5,K13=6),0.5,1)</f>
        <v>1</v>
      </c>
    </row>
    <row r="19" spans="1:18" ht="18.75" customHeight="1">
      <c r="A19" s="163" t="s">
        <v>78</v>
      </c>
      <c r="B19" s="164"/>
      <c r="C19" s="24" t="str">
        <f>IF(M3&lt;4,"ST2102",0)</f>
        <v>ST2102</v>
      </c>
      <c r="D19" s="24">
        <v>0.02</v>
      </c>
      <c r="E19" s="24" t="s">
        <v>109</v>
      </c>
      <c r="F19" s="27"/>
      <c r="G19" s="2"/>
      <c r="J19" s="3"/>
      <c r="K19" s="3"/>
      <c r="L19" s="3"/>
      <c r="M19" s="1" t="str">
        <f>IF(K14=7,"SS201, SS703","no PPE")</f>
        <v>no PPE</v>
      </c>
      <c r="N19" s="1">
        <f>IF(K14=7,0.5,1)</f>
        <v>1</v>
      </c>
      <c r="O19" s="3"/>
      <c r="P19" s="3"/>
      <c r="Q19" s="3"/>
      <c r="R19" s="2"/>
    </row>
    <row r="20" spans="1:18" ht="18.75" customHeight="1">
      <c r="A20" s="21" t="s">
        <v>79</v>
      </c>
      <c r="B20" s="68"/>
      <c r="C20" s="128" t="str">
        <f>IF(M3&lt;4,"ST1203",0)</f>
        <v>ST1203</v>
      </c>
      <c r="D20" s="24">
        <v>0.08</v>
      </c>
      <c r="E20" s="24" t="s">
        <v>110</v>
      </c>
      <c r="F20" s="129"/>
      <c r="G20" s="2"/>
      <c r="J20" s="3"/>
      <c r="K20" s="3"/>
      <c r="L20" s="3"/>
      <c r="M20" s="3"/>
      <c r="N20" s="3"/>
      <c r="O20" s="3"/>
      <c r="P20" s="3"/>
      <c r="Q20" s="3"/>
      <c r="R20" s="2"/>
    </row>
    <row r="21" spans="1:18" ht="18.75" customHeight="1">
      <c r="A21" s="163"/>
      <c r="B21" s="164"/>
      <c r="C21" s="128"/>
      <c r="D21" s="24">
        <v>0.8</v>
      </c>
      <c r="E21" s="24" t="s">
        <v>113</v>
      </c>
      <c r="F21" s="129"/>
      <c r="G21" s="2"/>
      <c r="J21" s="3">
        <f>IF(J22="Liquid",1,IF(J22="Water soluble or dispersible granules (WG)",2,IF(J22="Wettable powder (WP)",3,0)))</f>
        <v>0</v>
      </c>
      <c r="K21" s="3"/>
      <c r="L21" s="3"/>
      <c r="M21" s="3"/>
      <c r="N21" s="3"/>
      <c r="O21" s="3"/>
      <c r="P21" s="3"/>
      <c r="Q21" s="3"/>
      <c r="R21" s="2"/>
    </row>
    <row r="22" spans="1:15" ht="30" customHeight="1">
      <c r="A22" s="165" t="s">
        <v>80</v>
      </c>
      <c r="B22" s="166"/>
      <c r="C22" s="128" t="str">
        <f>IF(M3&lt;4,"ST2202",0)</f>
        <v>ST2202</v>
      </c>
      <c r="D22" s="24">
        <v>0.02</v>
      </c>
      <c r="E22" s="24" t="s">
        <v>110</v>
      </c>
      <c r="F22" s="129"/>
      <c r="G22" s="2"/>
      <c r="J22" s="2" t="s">
        <v>66</v>
      </c>
      <c r="K22" s="2"/>
      <c r="L22" s="2"/>
      <c r="M22" s="2"/>
      <c r="N22" s="2"/>
      <c r="O22" s="2"/>
    </row>
    <row r="23" spans="1:18" ht="18.75" customHeight="1">
      <c r="A23" s="163"/>
      <c r="B23" s="164"/>
      <c r="C23" s="128"/>
      <c r="D23" s="24">
        <v>0.8</v>
      </c>
      <c r="E23" s="24" t="s">
        <v>113</v>
      </c>
      <c r="F23" s="129"/>
      <c r="G23" s="2"/>
      <c r="J23" s="1" t="s">
        <v>8</v>
      </c>
      <c r="K23" s="2"/>
      <c r="L23" s="2">
        <f>IF(N23&lt;&gt;0,N23,IF(N24&lt;&gt;0,N24,IF(N22&lt;&gt;0,N22,IF(N21&lt;&gt;0,N21,""))))</f>
      </c>
      <c r="M23" s="2"/>
      <c r="O23" s="2"/>
      <c r="R23" s="4"/>
    </row>
    <row r="24" spans="1:15" ht="18.75" customHeight="1">
      <c r="A24" s="163" t="s">
        <v>81</v>
      </c>
      <c r="B24" s="164"/>
      <c r="C24" s="24" t="str">
        <f>IF(M3&lt;4,"SS110","SS201, SS703")</f>
        <v>SS110</v>
      </c>
      <c r="D24" s="24">
        <v>0.01</v>
      </c>
      <c r="E24" s="24" t="s">
        <v>111</v>
      </c>
      <c r="F24" s="27"/>
      <c r="G24" s="2"/>
      <c r="J24" s="2" t="s">
        <v>10</v>
      </c>
      <c r="K24" s="2"/>
      <c r="L24" s="2"/>
      <c r="M24" s="2"/>
      <c r="O24" s="2"/>
    </row>
    <row r="25" spans="1:13" ht="18.75" customHeight="1">
      <c r="A25" s="163" t="s">
        <v>82</v>
      </c>
      <c r="B25" s="164"/>
      <c r="C25" s="24" t="str">
        <f>IF(M3&lt;4,"SS120","SS201, SS703")</f>
        <v>SS120</v>
      </c>
      <c r="D25" s="24">
        <v>0.01</v>
      </c>
      <c r="E25" s="24" t="s">
        <v>112</v>
      </c>
      <c r="F25" s="27"/>
      <c r="G25" s="2"/>
      <c r="J25" s="2" t="s">
        <v>12</v>
      </c>
      <c r="K25" s="2"/>
      <c r="L25" s="2"/>
      <c r="M25" s="2"/>
    </row>
    <row r="26" spans="1:15" ht="30" customHeight="1">
      <c r="A26" s="165" t="s">
        <v>108</v>
      </c>
      <c r="B26" s="166"/>
      <c r="C26" s="24" t="str">
        <f>IF(M3&lt;4,"SS2202","SS201, SS703")</f>
        <v>SS2202</v>
      </c>
      <c r="D26" s="24">
        <v>0.05</v>
      </c>
      <c r="E26" s="24" t="s">
        <v>114</v>
      </c>
      <c r="F26" s="27"/>
      <c r="G26" s="2"/>
      <c r="J26" s="2"/>
      <c r="K26" s="2"/>
      <c r="L26" s="2"/>
      <c r="M26" s="2"/>
      <c r="N26" s="2"/>
      <c r="O26" s="2"/>
    </row>
    <row r="27" spans="1:15" ht="18.75" customHeight="1">
      <c r="A27" s="163" t="s">
        <v>83</v>
      </c>
      <c r="B27" s="164"/>
      <c r="C27" s="24" t="str">
        <f>IF(M3&lt;4,"SS420",0)</f>
        <v>SS420</v>
      </c>
      <c r="D27" s="24">
        <v>0.5</v>
      </c>
      <c r="E27" s="24" t="s">
        <v>113</v>
      </c>
      <c r="F27" s="27"/>
      <c r="G27" s="2"/>
      <c r="J27" s="77" t="s">
        <v>8</v>
      </c>
      <c r="K27" s="77" t="s">
        <v>15</v>
      </c>
      <c r="L27" s="77" t="s">
        <v>14</v>
      </c>
      <c r="M27" s="2"/>
      <c r="N27" s="2"/>
      <c r="O27" s="2"/>
    </row>
    <row r="28" spans="1:15" ht="18.75" customHeight="1">
      <c r="A28" s="163" t="s">
        <v>84</v>
      </c>
      <c r="B28" s="164"/>
      <c r="C28" s="24" t="str">
        <f>IF(M3&lt;4,"SS520",0)</f>
        <v>SS520</v>
      </c>
      <c r="D28" s="24">
        <v>0.05</v>
      </c>
      <c r="E28" s="24" t="s">
        <v>113</v>
      </c>
      <c r="F28" s="27"/>
      <c r="G28" s="2"/>
      <c r="J28" s="77">
        <f>IF($M$3=1,0.0006,IF($M$3=2,0.0006,IF(OR($M$3=3,$M$3=4),0.05,0)))</f>
        <v>0</v>
      </c>
      <c r="K28" s="77">
        <f>IF($M$3=1,0.008,IF($M$3=2,0.008,IF(OR($M$3=3,$M$3=4),0.02,0)))</f>
        <v>0</v>
      </c>
      <c r="L28" s="77">
        <f>IF($M$3=1,0.07,IF($M$3=2,0.07,IF(OR($M$3=3,$M$3=4),0.8,0)))</f>
        <v>0</v>
      </c>
      <c r="M28" s="2"/>
      <c r="O28" s="2"/>
    </row>
    <row r="29" spans="1:15" ht="15" thickBot="1">
      <c r="A29" s="159" t="s">
        <v>85</v>
      </c>
      <c r="B29" s="160"/>
      <c r="C29" s="160"/>
      <c r="D29" s="160"/>
      <c r="E29" s="160"/>
      <c r="F29" s="161"/>
      <c r="G29" s="2"/>
      <c r="J29" s="77">
        <f>IF($M$3=1,2.4,IF($M$3=2,2.4,IF(OR($M$3=3,$M$3=4),205,0)))</f>
        <v>0</v>
      </c>
      <c r="K29" s="77">
        <f>IF($M$3=1,2,IF($M$3=2,2,IF(OR($M$3=3,$M$3=4),21,0)))</f>
        <v>0</v>
      </c>
      <c r="L29" s="77">
        <f>IF($M$3=1,6,IF($M$3=2,6,IF(OR($M$3=3,$M$3=4),50,0)))</f>
        <v>0</v>
      </c>
      <c r="M29" s="2"/>
      <c r="N29" s="2"/>
      <c r="O29" s="2"/>
    </row>
    <row r="30" spans="1:13" ht="12.75" customHeight="1" thickBot="1">
      <c r="A30" s="13"/>
      <c r="B30" s="14"/>
      <c r="C30" s="14"/>
      <c r="D30" s="14"/>
      <c r="E30" s="14"/>
      <c r="F30" s="92"/>
      <c r="J30" s="2"/>
      <c r="K30" s="3"/>
      <c r="L30" s="3"/>
      <c r="M30" s="2"/>
    </row>
    <row r="31" spans="1:13" ht="12.75" customHeight="1">
      <c r="A31" s="69" t="s">
        <v>9</v>
      </c>
      <c r="B31" s="70"/>
      <c r="C31" s="157" t="s">
        <v>65</v>
      </c>
      <c r="D31" s="157"/>
      <c r="E31" s="157"/>
      <c r="F31" s="71" t="s">
        <v>18</v>
      </c>
      <c r="J31" s="2"/>
      <c r="K31" s="3"/>
      <c r="L31" s="3"/>
      <c r="M31" s="2"/>
    </row>
    <row r="32" spans="1:13" ht="15.75">
      <c r="A32" s="163" t="s">
        <v>109</v>
      </c>
      <c r="B32" s="164"/>
      <c r="C32" s="158" t="str">
        <f>IF(M4="HG","no PPE",IF(AND($K$6=1,$K$7=0),$C$18,IF(AND($K$6=0,$K$7=2),$C$19,IF(AND($K$6=0,$K$7=0),"no PPE",IF(AND($K$6=1,$K$7=2),"not possible",0)))))</f>
        <v>no PPE</v>
      </c>
      <c r="D32" s="158"/>
      <c r="E32" s="158"/>
      <c r="F32" s="72">
        <f>IF(M4="HG",1,IF(AND($K$6=1,$K$7=0),$D$18,IF(AND($K$6=0,$K$7=2),$D$19,1)))</f>
        <v>1</v>
      </c>
      <c r="J32" s="5"/>
      <c r="K32" s="5"/>
      <c r="L32" s="5"/>
      <c r="M32" s="2"/>
    </row>
    <row r="33" spans="1:13" ht="16.5" thickBot="1">
      <c r="A33" s="159" t="s">
        <v>110</v>
      </c>
      <c r="B33" s="173"/>
      <c r="C33" s="167" t="str">
        <f>IF(OR(AND($K$16=9,$K$8+$K$10&gt;0),AND($K$8=3,$K$10=4)),"not possible",IF(M4="HG","no PPE",IF(AND($K$8=3,$K$10=0),$C$20,IF(AND($K$8=0,$K$10=4),$C$22,IF(AND($K$8=0,$K$10=0),"no PPE",0)))))</f>
        <v>no PPE</v>
      </c>
      <c r="D33" s="167"/>
      <c r="E33" s="167"/>
      <c r="F33" s="73">
        <f>IF(K16=9,1,IF(AND($K$8=3,$K$10=0),$D$20,IF(AND($K$8=0,$K$10=4),$D$22,1)))</f>
        <v>1</v>
      </c>
      <c r="J33" s="5"/>
      <c r="K33" s="5"/>
      <c r="L33" s="5"/>
      <c r="M33" s="2"/>
    </row>
    <row r="34" spans="1:13" ht="12.75" customHeight="1" thickBot="1">
      <c r="A34" s="13"/>
      <c r="B34" s="14"/>
      <c r="C34" s="51"/>
      <c r="D34" s="14"/>
      <c r="E34" s="9"/>
      <c r="F34" s="95"/>
      <c r="J34" s="5"/>
      <c r="K34" s="5"/>
      <c r="L34" s="5"/>
      <c r="M34" s="2"/>
    </row>
    <row r="35" spans="1:13" ht="12.75" customHeight="1">
      <c r="A35" s="69" t="s">
        <v>11</v>
      </c>
      <c r="B35" s="70"/>
      <c r="C35" s="157" t="s">
        <v>65</v>
      </c>
      <c r="D35" s="157"/>
      <c r="E35" s="157"/>
      <c r="F35" s="71" t="s">
        <v>18</v>
      </c>
      <c r="J35" s="2"/>
      <c r="K35" s="3"/>
      <c r="M35" s="2"/>
    </row>
    <row r="36" spans="1:13" ht="15.75">
      <c r="A36" s="163" t="s">
        <v>111</v>
      </c>
      <c r="B36" s="164"/>
      <c r="C36" s="158" t="str">
        <f>IF(M4="HG",M18,IF($K$12=5,$C$24,IF($K$12=0,"no PPE",0)))</f>
        <v>no PPE</v>
      </c>
      <c r="D36" s="158"/>
      <c r="E36" s="158"/>
      <c r="F36" s="72">
        <f>IF(M4="HG",N18,IF($K$12=5,$D$24,IF($K$12=0,1,0)))</f>
        <v>1</v>
      </c>
      <c r="J36" s="2"/>
      <c r="K36" s="3"/>
      <c r="M36" s="2"/>
    </row>
    <row r="37" spans="1:13" ht="15.75">
      <c r="A37" s="163" t="s">
        <v>112</v>
      </c>
      <c r="B37" s="164"/>
      <c r="C37" s="158" t="str">
        <f>IF(M4="HG",M18,IF($K$13=6,$C$25,IF($K$13=0,"no PPE",0)))</f>
        <v>no PPE</v>
      </c>
      <c r="D37" s="158"/>
      <c r="E37" s="158"/>
      <c r="F37" s="72">
        <f>IF(M4="HG",N18,IF($K$13=6,$D$25,IF($K$13=0,1,0)))</f>
        <v>1</v>
      </c>
      <c r="J37" s="2"/>
      <c r="K37" s="3"/>
      <c r="L37" s="3"/>
      <c r="M37" s="2"/>
    </row>
    <row r="38" spans="1:13" ht="15.75">
      <c r="A38" s="163" t="s">
        <v>113</v>
      </c>
      <c r="B38" s="164"/>
      <c r="C38" s="158" t="str">
        <f>IF(AND(K16=9,K8+K10&gt;0),"not possible",IF(M4="HG","no PPE",IF(OR(M3=1,M3=2,M3=3,M3=0),M14,0)))</f>
        <v>no PPE</v>
      </c>
      <c r="D38" s="158"/>
      <c r="E38" s="158"/>
      <c r="F38" s="72">
        <f>IF(AND(K16=9,K8+K10&gt;0),1,IF(M4="HG",1,IF(OR(M3=1,M3=2,M3=3),N14,1)))</f>
        <v>1</v>
      </c>
      <c r="J38" s="2"/>
      <c r="K38" s="3"/>
      <c r="M38" s="2"/>
    </row>
    <row r="39" spans="1:13" ht="16.5" thickBot="1">
      <c r="A39" s="159" t="s">
        <v>114</v>
      </c>
      <c r="B39" s="173"/>
      <c r="C39" s="167" t="str">
        <f>IF(M4="HG",M19,IF($K$14=7,$C$26,IF($K$14=0,"no PPE",0)))</f>
        <v>no PPE</v>
      </c>
      <c r="D39" s="167"/>
      <c r="E39" s="167"/>
      <c r="F39" s="73">
        <f>IF(M4="HG",N19,IF($K$14=7,$D$26,IF($K$14=0,1,0)))</f>
        <v>1</v>
      </c>
      <c r="J39" s="2"/>
      <c r="K39" s="2"/>
      <c r="L39" s="2"/>
      <c r="M39" s="2"/>
    </row>
    <row r="40" spans="1:12" ht="12.75" customHeight="1">
      <c r="A40" s="109"/>
      <c r="B40" s="2"/>
      <c r="C40" s="2"/>
      <c r="D40" s="36"/>
      <c r="E40" s="36"/>
      <c r="J40" s="3"/>
      <c r="K40" s="3"/>
      <c r="L40" s="2"/>
    </row>
    <row r="41" spans="1:16" ht="15.75">
      <c r="A41" s="44" t="s">
        <v>28</v>
      </c>
      <c r="B41" s="2"/>
      <c r="C41" s="2"/>
      <c r="D41" s="36"/>
      <c r="E41" s="36"/>
      <c r="F41" s="2"/>
      <c r="J41" s="2"/>
      <c r="K41" s="2"/>
      <c r="L41" s="2"/>
      <c r="M41" s="2"/>
      <c r="N41" s="3"/>
      <c r="O41" s="3"/>
      <c r="P41" s="2"/>
    </row>
    <row r="42" spans="2:16" ht="12.75" customHeight="1">
      <c r="B42"/>
      <c r="C42"/>
      <c r="D42"/>
      <c r="E42" s="29"/>
      <c r="F42" s="29"/>
      <c r="G42" s="29"/>
      <c r="H42" s="29"/>
      <c r="I42" s="29"/>
      <c r="J42" s="2"/>
      <c r="K42" s="2"/>
      <c r="L42" s="2"/>
      <c r="M42" s="2"/>
      <c r="N42" s="3"/>
      <c r="O42" s="2"/>
      <c r="P42" s="2"/>
    </row>
    <row r="43" spans="1:16" ht="16.5" thickBot="1">
      <c r="A43" s="45" t="s">
        <v>29</v>
      </c>
      <c r="B43"/>
      <c r="C43"/>
      <c r="D43"/>
      <c r="E43" s="30"/>
      <c r="F43" s="30"/>
      <c r="G43" s="30"/>
      <c r="H43" s="30"/>
      <c r="I43" s="30"/>
      <c r="J43" s="2"/>
      <c r="K43" s="2"/>
      <c r="L43" s="2"/>
      <c r="M43" s="2"/>
      <c r="P43" s="2"/>
    </row>
    <row r="44" spans="1:6" ht="12.75" customHeight="1">
      <c r="A44" s="46" t="s">
        <v>27</v>
      </c>
      <c r="B44" s="170">
        <f>J22</f>
      </c>
      <c r="C44" s="171"/>
      <c r="D44" s="168" t="s">
        <v>31</v>
      </c>
      <c r="E44" s="170">
        <f>D6</f>
      </c>
      <c r="F44" s="171"/>
    </row>
    <row r="45" spans="1:6" ht="12.75">
      <c r="A45" s="47" t="s">
        <v>33</v>
      </c>
      <c r="B45" s="106">
        <f>C9</f>
        <v>0</v>
      </c>
      <c r="C45" s="49" t="s">
        <v>57</v>
      </c>
      <c r="D45" s="169"/>
      <c r="E45" s="138"/>
      <c r="F45" s="139"/>
    </row>
    <row r="46" spans="1:6" ht="12.75" customHeight="1">
      <c r="A46" s="47" t="s">
        <v>35</v>
      </c>
      <c r="B46" s="106">
        <f>C10</f>
        <v>0</v>
      </c>
      <c r="C46" s="49" t="s">
        <v>54</v>
      </c>
      <c r="D46" s="100" t="s">
        <v>30</v>
      </c>
      <c r="E46" s="106">
        <f>IF(J21=1,J29,IF(J21=2,K29,IF(J21=3,L29,0)))</f>
        <v>0</v>
      </c>
      <c r="F46" s="49" t="s">
        <v>58</v>
      </c>
    </row>
    <row r="47" spans="1:6" ht="12.75" customHeight="1">
      <c r="A47" s="172" t="s">
        <v>37</v>
      </c>
      <c r="B47" s="106">
        <f>C12</f>
        <v>0</v>
      </c>
      <c r="C47" s="49" t="s">
        <v>67</v>
      </c>
      <c r="D47" s="100" t="s">
        <v>32</v>
      </c>
      <c r="E47" s="106">
        <f>IF($M$3=1,0.38,IF($M$3=2,0.7,IF(OR($M$3=3,$M$3=4),10.6,0)))</f>
        <v>0</v>
      </c>
      <c r="F47" s="49" t="s">
        <v>58</v>
      </c>
    </row>
    <row r="48" spans="1:6" ht="12.75" customHeight="1">
      <c r="A48" s="172"/>
      <c r="B48" s="106">
        <f>C13</f>
        <v>0</v>
      </c>
      <c r="C48" s="49" t="s">
        <v>55</v>
      </c>
      <c r="D48" s="100" t="s">
        <v>34</v>
      </c>
      <c r="E48" s="106">
        <f>IF($M$3=1,1.6,IF($M$3=2,9.6,IF(OR($M$3=3,$M$3=4),25,0)))</f>
        <v>0</v>
      </c>
      <c r="F48" s="49" t="s">
        <v>58</v>
      </c>
    </row>
    <row r="49" spans="1:6" ht="12.75" customHeight="1">
      <c r="A49" s="78" t="s">
        <v>60</v>
      </c>
      <c r="B49" s="107">
        <f>C14</f>
        <v>100</v>
      </c>
      <c r="C49" s="102" t="s">
        <v>61</v>
      </c>
      <c r="D49" s="100" t="s">
        <v>36</v>
      </c>
      <c r="E49" s="106">
        <f>IF($M$3=1,0.06,IF($M$3=2,1.2,IF(OR($M$3=3,$M$3=4),4.8,0)))</f>
        <v>0</v>
      </c>
      <c r="F49" s="49" t="s">
        <v>58</v>
      </c>
    </row>
    <row r="50" spans="1:6" ht="12.75" customHeight="1">
      <c r="A50" s="47" t="s">
        <v>39</v>
      </c>
      <c r="B50" s="106">
        <f>C15</f>
        <v>70</v>
      </c>
      <c r="C50" s="49" t="s">
        <v>56</v>
      </c>
      <c r="D50" s="100" t="s">
        <v>38</v>
      </c>
      <c r="E50" s="106">
        <f>IF(J21=1,J28,IF(J21=2,K28,IF(J21=3,L28,0)))</f>
        <v>0</v>
      </c>
      <c r="F50" s="49" t="s">
        <v>58</v>
      </c>
    </row>
    <row r="51" spans="1:6" ht="12.75" customHeight="1" thickBot="1">
      <c r="A51" s="50" t="s">
        <v>59</v>
      </c>
      <c r="B51" s="108">
        <f>C11</f>
        <v>0</v>
      </c>
      <c r="C51" s="79" t="s">
        <v>45</v>
      </c>
      <c r="D51" s="101" t="s">
        <v>40</v>
      </c>
      <c r="E51" s="108">
        <f>IF($M$3=1,0.001,IF($M$3=2,0.018,IF(OR($M$3=3,$M$3=4),0.3,0)))</f>
        <v>0</v>
      </c>
      <c r="F51" s="79" t="s">
        <v>58</v>
      </c>
    </row>
    <row r="52" spans="1:6" ht="12" customHeight="1" thickBot="1">
      <c r="A52" s="74"/>
      <c r="B52" s="74"/>
      <c r="C52" s="74"/>
      <c r="D52" s="74"/>
      <c r="E52" s="74"/>
      <c r="F52" s="74"/>
    </row>
    <row r="53" spans="1:9" ht="12.75" customHeight="1" thickBot="1">
      <c r="A53" s="80" t="str">
        <f>"Operator exposure towards "&amp;C3</f>
        <v>Operator exposure towards </v>
      </c>
      <c r="B53" s="74"/>
      <c r="C53" s="74"/>
      <c r="D53" s="81"/>
      <c r="E53" s="81"/>
      <c r="F53" s="82"/>
      <c r="G53" s="30"/>
      <c r="H53" s="30"/>
      <c r="I53" s="30"/>
    </row>
    <row r="54" spans="1:9" ht="12.75" customHeight="1" thickBot="1">
      <c r="A54" s="130" t="s">
        <v>41</v>
      </c>
      <c r="B54" s="114"/>
      <c r="C54" s="115"/>
      <c r="D54" s="162" t="s">
        <v>42</v>
      </c>
      <c r="E54" s="114"/>
      <c r="F54" s="115"/>
      <c r="G54" s="30"/>
      <c r="H54" s="30"/>
      <c r="I54" s="30"/>
    </row>
    <row r="55" spans="1:9" ht="12.75" customHeight="1">
      <c r="A55" s="150" t="str">
        <f>"Operators: Systemic dermal exposure after application in "&amp;C5</f>
        <v>Operators: Systemic dermal exposure after application in e.g. cereals</v>
      </c>
      <c r="B55" s="151"/>
      <c r="C55" s="151"/>
      <c r="D55" s="151"/>
      <c r="E55" s="151"/>
      <c r="F55" s="152"/>
      <c r="G55" s="30"/>
      <c r="H55" s="30"/>
      <c r="I55" s="30"/>
    </row>
    <row r="56" spans="1:9" ht="12.75" customHeight="1">
      <c r="A56" s="154" t="s">
        <v>98</v>
      </c>
      <c r="B56" s="155"/>
      <c r="C56" s="155"/>
      <c r="D56" s="155"/>
      <c r="E56" s="155"/>
      <c r="F56" s="156"/>
      <c r="G56" s="30"/>
      <c r="H56" s="30"/>
      <c r="I56" s="30"/>
    </row>
    <row r="57" spans="1:9" ht="12.75">
      <c r="A57" s="137" t="s">
        <v>43</v>
      </c>
      <c r="B57" s="138"/>
      <c r="C57" s="139"/>
      <c r="D57" s="140" t="s">
        <v>43</v>
      </c>
      <c r="E57" s="138"/>
      <c r="F57" s="139"/>
      <c r="G57" s="30"/>
      <c r="H57" s="30"/>
      <c r="I57" s="30"/>
    </row>
    <row r="58" spans="1:9" ht="12.75">
      <c r="A58" s="137" t="s">
        <v>44</v>
      </c>
      <c r="B58" s="138"/>
      <c r="C58" s="139"/>
      <c r="D58" s="140" t="s">
        <v>69</v>
      </c>
      <c r="E58" s="138"/>
      <c r="F58" s="139"/>
      <c r="G58" s="30"/>
      <c r="H58" s="30"/>
      <c r="I58" s="30"/>
    </row>
    <row r="59" spans="1:9" ht="12.75" customHeight="1">
      <c r="A59" s="137" t="str">
        <f>"("&amp;E46&amp;" x "&amp;B45&amp;" x "&amp;B46&amp;" x "&amp;B47&amp;"%) / "&amp;B50</f>
        <v>(0 x 0 x 0 x 0%) / 70</v>
      </c>
      <c r="B59" s="138"/>
      <c r="C59" s="139"/>
      <c r="D59" s="140" t="str">
        <f>"("&amp;E46&amp;" x "&amp;B45&amp;" x "&amp;B46&amp;" x "&amp;F36&amp;" x "&amp;B47&amp;"%) / "&amp;B50</f>
        <v>(0 x 0 x 0 x 1 x 0%) / 70</v>
      </c>
      <c r="E59" s="138"/>
      <c r="F59" s="139"/>
      <c r="G59" s="35"/>
      <c r="H59" s="30"/>
      <c r="I59" s="30"/>
    </row>
    <row r="60" spans="1:9" ht="12.75" customHeight="1">
      <c r="A60" s="97" t="s">
        <v>90</v>
      </c>
      <c r="B60" s="48">
        <f>E46*B45*B46</f>
        <v>0</v>
      </c>
      <c r="C60" s="49" t="s">
        <v>68</v>
      </c>
      <c r="D60" s="97" t="s">
        <v>90</v>
      </c>
      <c r="E60" s="48">
        <f>E46*B45*B46*F36</f>
        <v>0</v>
      </c>
      <c r="F60" s="49" t="s">
        <v>68</v>
      </c>
      <c r="G60" s="35"/>
      <c r="H60" s="30"/>
      <c r="I60" s="30"/>
    </row>
    <row r="61" spans="1:9" ht="12.75" customHeight="1">
      <c r="A61" s="97" t="s">
        <v>90</v>
      </c>
      <c r="B61" s="48">
        <f>E46*B45*B46/B50</f>
        <v>0</v>
      </c>
      <c r="C61" s="49" t="s">
        <v>45</v>
      </c>
      <c r="D61" s="97" t="s">
        <v>90</v>
      </c>
      <c r="E61" s="48">
        <f>E46*B45*B46*F36/B50</f>
        <v>0</v>
      </c>
      <c r="F61" s="49" t="s">
        <v>45</v>
      </c>
      <c r="G61" s="35"/>
      <c r="H61" s="30"/>
      <c r="I61" s="30"/>
    </row>
    <row r="62" spans="1:9" ht="12.75" customHeight="1">
      <c r="A62" s="47" t="s">
        <v>91</v>
      </c>
      <c r="B62" s="83">
        <f>E46*B45*B46*B47%/B50</f>
        <v>0</v>
      </c>
      <c r="C62" s="84" t="s">
        <v>45</v>
      </c>
      <c r="D62" s="47" t="s">
        <v>91</v>
      </c>
      <c r="E62" s="83">
        <f>E46*B45*B46*F36*B47%/B50</f>
        <v>0</v>
      </c>
      <c r="F62" s="84" t="s">
        <v>45</v>
      </c>
      <c r="G62" s="30"/>
      <c r="H62" s="30"/>
      <c r="I62" s="30"/>
    </row>
    <row r="63" spans="1:9" ht="12.75" customHeight="1">
      <c r="A63" s="154" t="s">
        <v>99</v>
      </c>
      <c r="B63" s="155"/>
      <c r="C63" s="155"/>
      <c r="D63" s="155"/>
      <c r="E63" s="155"/>
      <c r="F63" s="156"/>
      <c r="G63" s="35"/>
      <c r="H63" s="30"/>
      <c r="I63" s="30"/>
    </row>
    <row r="64" spans="1:9" ht="12.75">
      <c r="A64" s="137" t="s">
        <v>43</v>
      </c>
      <c r="B64" s="138"/>
      <c r="C64" s="139"/>
      <c r="D64" s="140" t="s">
        <v>43</v>
      </c>
      <c r="E64" s="138"/>
      <c r="F64" s="139"/>
      <c r="G64" s="30"/>
      <c r="H64" s="30"/>
      <c r="I64" s="30"/>
    </row>
    <row r="65" spans="1:9" ht="13.5" customHeight="1">
      <c r="A65" s="137" t="s">
        <v>46</v>
      </c>
      <c r="B65" s="138"/>
      <c r="C65" s="139"/>
      <c r="D65" s="140" t="s">
        <v>70</v>
      </c>
      <c r="E65" s="138"/>
      <c r="F65" s="139"/>
      <c r="G65" s="35"/>
      <c r="H65" s="30"/>
      <c r="I65" s="30"/>
    </row>
    <row r="66" spans="1:9" ht="13.5" customHeight="1">
      <c r="A66" s="137" t="str">
        <f>"("&amp;E47&amp;" x "&amp;B45&amp;" x "&amp;B46&amp;" x "&amp;B48&amp;"%) / "&amp;B50</f>
        <v>(0 x 0 x 0 x 0%) / 70</v>
      </c>
      <c r="B66" s="138"/>
      <c r="C66" s="139"/>
      <c r="D66" s="140" t="str">
        <f>"("&amp;E47&amp;" x "&amp;B45&amp;" x "&amp;B46&amp;" x "&amp;F37&amp;" x "&amp;B48&amp;"%) / "&amp;B50</f>
        <v>(0 x 0 x 0 x 1 x 0%) / 70</v>
      </c>
      <c r="E66" s="138"/>
      <c r="F66" s="139"/>
      <c r="G66" s="30"/>
      <c r="H66" s="30"/>
      <c r="I66" s="30"/>
    </row>
    <row r="67" spans="1:9" ht="13.5" customHeight="1">
      <c r="A67" s="97" t="s">
        <v>90</v>
      </c>
      <c r="B67" s="48">
        <f>E47*B45*B46</f>
        <v>0</v>
      </c>
      <c r="C67" s="49" t="s">
        <v>68</v>
      </c>
      <c r="D67" s="97" t="s">
        <v>90</v>
      </c>
      <c r="E67" s="48">
        <f>E47*B45*B46*F37</f>
        <v>0</v>
      </c>
      <c r="F67" s="49" t="s">
        <v>68</v>
      </c>
      <c r="G67" s="30"/>
      <c r="H67" s="30"/>
      <c r="I67" s="30"/>
    </row>
    <row r="68" spans="1:9" ht="13.5" customHeight="1">
      <c r="A68" s="97" t="s">
        <v>90</v>
      </c>
      <c r="B68" s="48">
        <f>E47*B45*B46/B50</f>
        <v>0</v>
      </c>
      <c r="C68" s="49" t="s">
        <v>45</v>
      </c>
      <c r="D68" s="97" t="s">
        <v>90</v>
      </c>
      <c r="E68" s="48">
        <f>E47*B45*B46*F37/B50</f>
        <v>0</v>
      </c>
      <c r="F68" s="49" t="s">
        <v>45</v>
      </c>
      <c r="G68" s="30"/>
      <c r="H68" s="30"/>
      <c r="I68" s="30"/>
    </row>
    <row r="69" spans="1:9" ht="13.5" customHeight="1">
      <c r="A69" s="47" t="s">
        <v>91</v>
      </c>
      <c r="B69" s="83">
        <f>E47*B45*B46*B48%/B50</f>
        <v>0</v>
      </c>
      <c r="C69" s="84" t="s">
        <v>45</v>
      </c>
      <c r="D69" s="47" t="s">
        <v>91</v>
      </c>
      <c r="E69" s="83">
        <f>E47*B45*B46*F37*B48%/B50</f>
        <v>0</v>
      </c>
      <c r="F69" s="84" t="s">
        <v>45</v>
      </c>
      <c r="G69" s="31"/>
      <c r="H69" s="31"/>
      <c r="I69" s="31"/>
    </row>
    <row r="70" spans="1:9" ht="12.75">
      <c r="A70" s="137" t="s">
        <v>47</v>
      </c>
      <c r="B70" s="138"/>
      <c r="C70" s="139"/>
      <c r="D70" s="140" t="s">
        <v>47</v>
      </c>
      <c r="E70" s="138"/>
      <c r="F70" s="139"/>
      <c r="G70" s="34"/>
      <c r="H70" s="34"/>
      <c r="I70" s="34"/>
    </row>
    <row r="71" spans="1:9" ht="13.5" customHeight="1">
      <c r="A71" s="137" t="s">
        <v>48</v>
      </c>
      <c r="B71" s="138"/>
      <c r="C71" s="139"/>
      <c r="D71" s="140" t="s">
        <v>71</v>
      </c>
      <c r="E71" s="138"/>
      <c r="F71" s="139"/>
      <c r="G71" s="30"/>
      <c r="H71" s="30"/>
      <c r="I71" s="30"/>
    </row>
    <row r="72" spans="1:9" ht="13.5" customHeight="1">
      <c r="A72" s="137" t="str">
        <f>"("&amp;E48&amp;" x "&amp;B45&amp;" x "&amp;B46&amp;" x "&amp;B48&amp;"%) / "&amp;B50</f>
        <v>(0 x 0 x 0 x 0%) / 70</v>
      </c>
      <c r="B72" s="138"/>
      <c r="C72" s="139"/>
      <c r="D72" s="140" t="str">
        <f>"("&amp;E48&amp;" x "&amp;B45&amp;" x "&amp;B46&amp;" x "&amp;F39&amp;" x "&amp;B48&amp;"%) / "&amp;B50</f>
        <v>(0 x 0 x 0 x 1 x 0%) / 70</v>
      </c>
      <c r="E72" s="138"/>
      <c r="F72" s="139"/>
      <c r="G72" s="30"/>
      <c r="H72" s="30"/>
      <c r="I72" s="30"/>
    </row>
    <row r="73" spans="1:9" ht="13.5" customHeight="1">
      <c r="A73" s="97" t="s">
        <v>90</v>
      </c>
      <c r="B73" s="48">
        <f>E48*B45*B46</f>
        <v>0</v>
      </c>
      <c r="C73" s="49" t="s">
        <v>68</v>
      </c>
      <c r="D73" s="97" t="s">
        <v>90</v>
      </c>
      <c r="E73" s="48">
        <f>E48*B45*B46*F39</f>
        <v>0</v>
      </c>
      <c r="F73" s="49" t="s">
        <v>68</v>
      </c>
      <c r="G73" s="30"/>
      <c r="H73" s="30"/>
      <c r="I73" s="30"/>
    </row>
    <row r="74" spans="1:9" ht="13.5" customHeight="1">
      <c r="A74" s="97" t="s">
        <v>90</v>
      </c>
      <c r="B74" s="48">
        <f>E48*B45*B46/B50</f>
        <v>0</v>
      </c>
      <c r="C74" s="49" t="s">
        <v>45</v>
      </c>
      <c r="D74" s="97" t="s">
        <v>90</v>
      </c>
      <c r="E74" s="48">
        <f>E48*B45*B46*F39/B50</f>
        <v>0</v>
      </c>
      <c r="F74" s="49" t="s">
        <v>45</v>
      </c>
      <c r="G74" s="30"/>
      <c r="H74" s="30"/>
      <c r="I74" s="30"/>
    </row>
    <row r="75" spans="1:9" ht="13.5" customHeight="1">
      <c r="A75" s="47" t="s">
        <v>91</v>
      </c>
      <c r="B75" s="83">
        <f>E48*B45*B46*B48%/B50</f>
        <v>0</v>
      </c>
      <c r="C75" s="84" t="s">
        <v>45</v>
      </c>
      <c r="D75" s="47" t="s">
        <v>91</v>
      </c>
      <c r="E75" s="83">
        <f>E48*B45*B46*F39*B48%/B50</f>
        <v>0</v>
      </c>
      <c r="F75" s="84" t="s">
        <v>45</v>
      </c>
      <c r="G75" s="30"/>
      <c r="H75" s="30"/>
      <c r="I75" s="30"/>
    </row>
    <row r="76" spans="1:9" ht="12.75">
      <c r="A76" s="137" t="s">
        <v>49</v>
      </c>
      <c r="B76" s="138"/>
      <c r="C76" s="139"/>
      <c r="D76" s="140" t="s">
        <v>49</v>
      </c>
      <c r="E76" s="138"/>
      <c r="F76" s="139"/>
      <c r="G76" s="35"/>
      <c r="H76" s="30"/>
      <c r="I76" s="30"/>
    </row>
    <row r="77" spans="1:9" ht="13.5" customHeight="1">
      <c r="A77" s="137" t="s">
        <v>50</v>
      </c>
      <c r="B77" s="138"/>
      <c r="C77" s="139"/>
      <c r="D77" s="140" t="s">
        <v>72</v>
      </c>
      <c r="E77" s="138"/>
      <c r="F77" s="139"/>
      <c r="G77" s="30"/>
      <c r="H77" s="30"/>
      <c r="I77" s="30"/>
    </row>
    <row r="78" spans="1:9" ht="13.5" customHeight="1">
      <c r="A78" s="137" t="str">
        <f>"("&amp;E49&amp;" x "&amp;B45&amp;" x "&amp;B46&amp;" x "&amp;B48&amp;"%) / "&amp;B50</f>
        <v>(0 x 0 x 0 x 0%) / 70</v>
      </c>
      <c r="B78" s="138"/>
      <c r="C78" s="139"/>
      <c r="D78" s="140" t="str">
        <f>"("&amp;E49&amp;" x "&amp;B45&amp;" x "&amp;B46&amp;" x "&amp;F38&amp;" x "&amp;B48&amp;"%) / "&amp;B50</f>
        <v>(0 x 0 x 0 x 1 x 0%) / 70</v>
      </c>
      <c r="E78" s="138"/>
      <c r="F78" s="139"/>
      <c r="G78" s="30"/>
      <c r="H78" s="30"/>
      <c r="I78" s="30"/>
    </row>
    <row r="79" spans="1:9" ht="13.5" customHeight="1">
      <c r="A79" s="97" t="s">
        <v>90</v>
      </c>
      <c r="B79" s="110">
        <f>E49*B45*B46</f>
        <v>0</v>
      </c>
      <c r="C79" s="49" t="s">
        <v>68</v>
      </c>
      <c r="D79" s="97" t="s">
        <v>90</v>
      </c>
      <c r="E79" s="48">
        <f>E49*B45*B46*F38</f>
        <v>0</v>
      </c>
      <c r="F79" s="49" t="s">
        <v>68</v>
      </c>
      <c r="G79" s="30"/>
      <c r="H79" s="30"/>
      <c r="I79" s="30"/>
    </row>
    <row r="80" spans="1:9" ht="13.5" customHeight="1">
      <c r="A80" s="97" t="s">
        <v>90</v>
      </c>
      <c r="B80" s="110">
        <f>E49*B45*B46/B50</f>
        <v>0</v>
      </c>
      <c r="C80" s="49" t="s">
        <v>45</v>
      </c>
      <c r="D80" s="97" t="s">
        <v>90</v>
      </c>
      <c r="E80" s="48">
        <f>E49*B45*B46*F38/B50</f>
        <v>0</v>
      </c>
      <c r="F80" s="49" t="s">
        <v>45</v>
      </c>
      <c r="G80" s="30"/>
      <c r="H80" s="30"/>
      <c r="I80" s="30"/>
    </row>
    <row r="81" spans="1:9" ht="12.75">
      <c r="A81" s="47" t="s">
        <v>91</v>
      </c>
      <c r="B81" s="83">
        <f>E49*B45*B46*B48%/B50</f>
        <v>0</v>
      </c>
      <c r="C81" s="84" t="s">
        <v>45</v>
      </c>
      <c r="D81" s="47" t="s">
        <v>91</v>
      </c>
      <c r="E81" s="83">
        <f>E49*B45*B46*F38*B48%/B50</f>
        <v>0</v>
      </c>
      <c r="F81" s="84" t="s">
        <v>45</v>
      </c>
      <c r="G81" s="35"/>
      <c r="H81" s="30"/>
      <c r="I81" s="30"/>
    </row>
    <row r="82" spans="1:9" ht="26.25" customHeight="1">
      <c r="A82" s="137" t="s">
        <v>62</v>
      </c>
      <c r="B82" s="138"/>
      <c r="C82" s="139"/>
      <c r="D82" s="140" t="s">
        <v>62</v>
      </c>
      <c r="E82" s="138"/>
      <c r="F82" s="139"/>
      <c r="G82" s="32"/>
      <c r="H82" s="31"/>
      <c r="I82" s="31"/>
    </row>
    <row r="83" spans="1:9" ht="26.25" customHeight="1">
      <c r="A83" s="104" t="s">
        <v>92</v>
      </c>
      <c r="B83" s="111">
        <f>B79+B73+B67+B60</f>
        <v>0</v>
      </c>
      <c r="C83" s="49" t="s">
        <v>68</v>
      </c>
      <c r="D83" s="104" t="s">
        <v>92</v>
      </c>
      <c r="E83" s="111">
        <f>E79+E73+E67+E60</f>
        <v>0</v>
      </c>
      <c r="F83" s="49" t="s">
        <v>68</v>
      </c>
      <c r="G83" s="32"/>
      <c r="H83" s="31"/>
      <c r="I83" s="31"/>
    </row>
    <row r="84" spans="1:9" ht="26.25" customHeight="1">
      <c r="A84" s="104" t="s">
        <v>92</v>
      </c>
      <c r="B84" s="111">
        <f>B80+B74+B68+B61</f>
        <v>0</v>
      </c>
      <c r="C84" s="49" t="s">
        <v>45</v>
      </c>
      <c r="D84" s="104" t="s">
        <v>92</v>
      </c>
      <c r="E84" s="111">
        <f>E80+E74+E68+E61</f>
        <v>0</v>
      </c>
      <c r="F84" s="49" t="s">
        <v>45</v>
      </c>
      <c r="G84" s="32"/>
      <c r="H84" s="31"/>
      <c r="I84" s="31"/>
    </row>
    <row r="85" spans="1:9" ht="26.25" thickBot="1">
      <c r="A85" s="50" t="s">
        <v>93</v>
      </c>
      <c r="B85" s="112">
        <f>B81+B75+B69+B62</f>
        <v>0</v>
      </c>
      <c r="C85" s="86" t="s">
        <v>45</v>
      </c>
      <c r="D85" s="50" t="s">
        <v>93</v>
      </c>
      <c r="E85" s="112">
        <f>E81+E75+E69+E62</f>
        <v>0</v>
      </c>
      <c r="F85" s="86" t="s">
        <v>45</v>
      </c>
      <c r="G85" s="32"/>
      <c r="H85" s="31"/>
      <c r="I85" s="31"/>
    </row>
    <row r="86" spans="1:9" ht="13.5" customHeight="1">
      <c r="A86" s="150" t="str">
        <f>"Operators: Systemic inhalation exposure after application in "&amp;C5</f>
        <v>Operators: Systemic inhalation exposure after application in e.g. cereals</v>
      </c>
      <c r="B86" s="151"/>
      <c r="C86" s="151"/>
      <c r="D86" s="151"/>
      <c r="E86" s="151"/>
      <c r="F86" s="152"/>
      <c r="G86" s="34"/>
      <c r="H86" s="34"/>
      <c r="I86" s="34"/>
    </row>
    <row r="87" spans="1:9" ht="13.5" customHeight="1">
      <c r="A87" s="137" t="s">
        <v>102</v>
      </c>
      <c r="B87" s="138"/>
      <c r="C87" s="138"/>
      <c r="D87" s="138"/>
      <c r="E87" s="138"/>
      <c r="F87" s="139"/>
      <c r="G87" s="31"/>
      <c r="H87" s="30"/>
      <c r="I87" s="30"/>
    </row>
    <row r="88" spans="1:9" ht="12.75">
      <c r="A88" s="137" t="s">
        <v>100</v>
      </c>
      <c r="B88" s="138"/>
      <c r="C88" s="139"/>
      <c r="D88" s="140" t="s">
        <v>101</v>
      </c>
      <c r="E88" s="138"/>
      <c r="F88" s="139"/>
      <c r="G88" s="31"/>
      <c r="H88" s="30"/>
      <c r="I88" s="30"/>
    </row>
    <row r="89" spans="1:9" ht="13.5" customHeight="1">
      <c r="A89" s="137" t="str">
        <f>"("&amp;E50&amp;" x "&amp;B45&amp;" x "&amp;B46&amp;" x "&amp;B49&amp;"%) / "&amp;B50</f>
        <v>(0 x 0 x 0 x 100%) / 70</v>
      </c>
      <c r="B89" s="138"/>
      <c r="C89" s="139"/>
      <c r="D89" s="140" t="str">
        <f>"("&amp;E50&amp;" x "&amp;B45&amp;" x "&amp;B46&amp;" x "&amp;F32&amp;" x "&amp;B49&amp;"%) / "&amp;B50</f>
        <v>(0 x 0 x 0 x 1 x 100%) / 70</v>
      </c>
      <c r="E89" s="138"/>
      <c r="F89" s="139"/>
      <c r="G89" s="34"/>
      <c r="H89" s="33"/>
      <c r="I89" s="33"/>
    </row>
    <row r="90" spans="1:9" ht="13.5" customHeight="1">
      <c r="A90" s="97" t="s">
        <v>94</v>
      </c>
      <c r="B90" s="48">
        <f>E50*B45*B46</f>
        <v>0</v>
      </c>
      <c r="C90" s="49" t="s">
        <v>68</v>
      </c>
      <c r="D90" s="97" t="s">
        <v>94</v>
      </c>
      <c r="E90" s="48">
        <f>E50*B45*B46*F32</f>
        <v>0</v>
      </c>
      <c r="F90" s="49" t="s">
        <v>68</v>
      </c>
      <c r="G90" s="30"/>
      <c r="H90" s="30"/>
      <c r="I90" s="30"/>
    </row>
    <row r="91" spans="1:9" ht="13.5" customHeight="1">
      <c r="A91" s="97" t="s">
        <v>94</v>
      </c>
      <c r="B91" s="48">
        <f>E50*B45*B46/B50</f>
        <v>0</v>
      </c>
      <c r="C91" s="49" t="s">
        <v>45</v>
      </c>
      <c r="D91" s="97" t="s">
        <v>94</v>
      </c>
      <c r="E91" s="48">
        <f>E50*B45*B46*F32/B50</f>
        <v>0</v>
      </c>
      <c r="F91" s="49" t="s">
        <v>45</v>
      </c>
      <c r="G91" s="30"/>
      <c r="H91" s="30"/>
      <c r="I91" s="30"/>
    </row>
    <row r="92" spans="1:9" ht="12.75" customHeight="1">
      <c r="A92" s="47" t="s">
        <v>95</v>
      </c>
      <c r="B92" s="83">
        <f>E50*B45*B46*B49%/B50</f>
        <v>0</v>
      </c>
      <c r="C92" s="84" t="s">
        <v>45</v>
      </c>
      <c r="D92" s="47" t="s">
        <v>95</v>
      </c>
      <c r="E92" s="83">
        <f>E50*B45*B46*F32*B49%/B50</f>
        <v>0</v>
      </c>
      <c r="F92" s="84" t="s">
        <v>45</v>
      </c>
      <c r="G92" s="30"/>
      <c r="H92" s="30"/>
      <c r="I92" s="30"/>
    </row>
    <row r="93" spans="1:9" ht="12.75">
      <c r="A93" s="137" t="s">
        <v>103</v>
      </c>
      <c r="B93" s="138"/>
      <c r="C93" s="138"/>
      <c r="D93" s="138"/>
      <c r="E93" s="138"/>
      <c r="F93" s="139"/>
      <c r="H93" s="2"/>
      <c r="I93" s="2"/>
    </row>
    <row r="94" spans="1:9" ht="16.5" customHeight="1">
      <c r="A94" s="137" t="s">
        <v>115</v>
      </c>
      <c r="B94" s="138"/>
      <c r="C94" s="139"/>
      <c r="D94" s="140" t="s">
        <v>116</v>
      </c>
      <c r="E94" s="138"/>
      <c r="F94" s="139"/>
      <c r="H94" s="5"/>
      <c r="I94" s="5"/>
    </row>
    <row r="95" spans="1:9" ht="13.5" customHeight="1">
      <c r="A95" s="137" t="str">
        <f>"("&amp;E51&amp;" x "&amp;B45&amp;" x "&amp;B46&amp;" x "&amp;B49&amp;"%) / "&amp;B50</f>
        <v>(0 x 0 x 0 x 100%) / 70</v>
      </c>
      <c r="B95" s="138"/>
      <c r="C95" s="139"/>
      <c r="D95" s="140" t="str">
        <f>"("&amp;E51&amp;" x "&amp;B45&amp;" x "&amp;B46&amp;" x "&amp;F33&amp;" x "&amp;B49&amp;"%) / "&amp;B50</f>
        <v>(0 x 0 x 0 x 1 x 100%) / 70</v>
      </c>
      <c r="E95" s="138"/>
      <c r="F95" s="139"/>
      <c r="H95" s="5"/>
      <c r="I95" s="5"/>
    </row>
    <row r="96" spans="1:9" ht="13.5" customHeight="1">
      <c r="A96" s="97" t="s">
        <v>94</v>
      </c>
      <c r="B96" s="48">
        <f>E51*B45*B46</f>
        <v>0</v>
      </c>
      <c r="C96" s="49" t="s">
        <v>68</v>
      </c>
      <c r="D96" s="97" t="s">
        <v>94</v>
      </c>
      <c r="E96" s="48">
        <f>E51*B45*B46*F33</f>
        <v>0</v>
      </c>
      <c r="F96" s="49" t="s">
        <v>68</v>
      </c>
      <c r="H96" s="5"/>
      <c r="I96" s="5"/>
    </row>
    <row r="97" spans="1:9" ht="13.5" customHeight="1">
      <c r="A97" s="97" t="s">
        <v>94</v>
      </c>
      <c r="B97" s="48">
        <f>E51*B45*B46/B50</f>
        <v>0</v>
      </c>
      <c r="C97" s="49" t="s">
        <v>45</v>
      </c>
      <c r="D97" s="97" t="s">
        <v>94</v>
      </c>
      <c r="E97" s="48">
        <f>E51*B45*B46*F33/B50</f>
        <v>0</v>
      </c>
      <c r="F97" s="49" t="s">
        <v>45</v>
      </c>
      <c r="H97" s="5"/>
      <c r="I97" s="5"/>
    </row>
    <row r="98" spans="1:9" ht="12.75" customHeight="1">
      <c r="A98" s="47" t="s">
        <v>95</v>
      </c>
      <c r="B98" s="83">
        <f>E51*B45*B46*B49%/B50</f>
        <v>0</v>
      </c>
      <c r="C98" s="84" t="s">
        <v>45</v>
      </c>
      <c r="D98" s="47" t="s">
        <v>95</v>
      </c>
      <c r="E98" s="83">
        <f>E51*B45*B46*F33*B49%/B50</f>
        <v>0</v>
      </c>
      <c r="F98" s="84" t="s">
        <v>45</v>
      </c>
      <c r="H98" s="5"/>
      <c r="I98" s="5"/>
    </row>
    <row r="99" spans="1:9" ht="12.75">
      <c r="A99" s="137" t="s">
        <v>63</v>
      </c>
      <c r="B99" s="138"/>
      <c r="C99" s="139"/>
      <c r="D99" s="140" t="s">
        <v>63</v>
      </c>
      <c r="E99" s="138"/>
      <c r="F99" s="139"/>
      <c r="H99" s="5"/>
      <c r="I99" s="5"/>
    </row>
    <row r="100" spans="1:9" ht="27" customHeight="1">
      <c r="A100" s="104" t="s">
        <v>96</v>
      </c>
      <c r="B100" s="105">
        <f>B96+B90</f>
        <v>0</v>
      </c>
      <c r="C100" s="49" t="s">
        <v>68</v>
      </c>
      <c r="D100" s="104" t="s">
        <v>96</v>
      </c>
      <c r="E100" s="105">
        <f>E96+E90</f>
        <v>0</v>
      </c>
      <c r="F100" s="49" t="s">
        <v>68</v>
      </c>
      <c r="H100" s="5"/>
      <c r="I100" s="5"/>
    </row>
    <row r="101" spans="1:9" ht="27" customHeight="1">
      <c r="A101" s="104" t="s">
        <v>96</v>
      </c>
      <c r="B101" s="105">
        <f>B97+B91</f>
        <v>0</v>
      </c>
      <c r="C101" s="49" t="s">
        <v>45</v>
      </c>
      <c r="D101" s="104" t="s">
        <v>96</v>
      </c>
      <c r="E101" s="105">
        <f>E97+E91</f>
        <v>0</v>
      </c>
      <c r="F101" s="49" t="s">
        <v>45</v>
      </c>
      <c r="H101" s="113"/>
      <c r="I101" s="5"/>
    </row>
    <row r="102" spans="1:9" ht="27" customHeight="1" thickBot="1">
      <c r="A102" s="50" t="s">
        <v>97</v>
      </c>
      <c r="B102" s="85">
        <f>B98+B92</f>
        <v>0</v>
      </c>
      <c r="C102" s="86" t="s">
        <v>45</v>
      </c>
      <c r="D102" s="50" t="s">
        <v>97</v>
      </c>
      <c r="E102" s="85">
        <f>E98+E92</f>
        <v>0</v>
      </c>
      <c r="F102" s="86" t="s">
        <v>45</v>
      </c>
      <c r="H102" s="5"/>
      <c r="I102" s="5"/>
    </row>
    <row r="103" spans="1:9" ht="12.75">
      <c r="A103" s="144" t="s">
        <v>51</v>
      </c>
      <c r="B103" s="145"/>
      <c r="C103" s="146"/>
      <c r="D103" s="147" t="s">
        <v>51</v>
      </c>
      <c r="E103" s="148"/>
      <c r="F103" s="149"/>
      <c r="H103" s="5"/>
      <c r="I103" s="5"/>
    </row>
    <row r="104" spans="1:9" ht="12.75">
      <c r="A104" s="97" t="s">
        <v>89</v>
      </c>
      <c r="B104" s="99">
        <f>B105*B50</f>
        <v>0</v>
      </c>
      <c r="C104" s="103" t="s">
        <v>68</v>
      </c>
      <c r="D104" s="98" t="s">
        <v>89</v>
      </c>
      <c r="E104" s="99">
        <f>E105*B50</f>
        <v>0</v>
      </c>
      <c r="F104" s="103" t="s">
        <v>68</v>
      </c>
      <c r="H104" s="2"/>
      <c r="I104" s="2"/>
    </row>
    <row r="105" spans="1:9" ht="12.75">
      <c r="A105" s="47" t="s">
        <v>89</v>
      </c>
      <c r="B105" s="83">
        <f>B102+B85</f>
        <v>0</v>
      </c>
      <c r="C105" s="84" t="s">
        <v>45</v>
      </c>
      <c r="D105" s="100" t="s">
        <v>89</v>
      </c>
      <c r="E105" s="83">
        <f>E102+E85</f>
        <v>0</v>
      </c>
      <c r="F105" s="84" t="s">
        <v>45</v>
      </c>
      <c r="H105" s="2"/>
      <c r="I105" s="2"/>
    </row>
    <row r="106" spans="1:9" ht="13.5" thickBot="1">
      <c r="A106" s="50" t="s">
        <v>52</v>
      </c>
      <c r="B106" s="87">
        <f>IF(B51&gt;0,B105*100/B51,0)</f>
        <v>0</v>
      </c>
      <c r="C106" s="86" t="s">
        <v>61</v>
      </c>
      <c r="D106" s="101" t="s">
        <v>53</v>
      </c>
      <c r="E106" s="87">
        <f>IF(B51&gt;0,E105*100/B51,0)</f>
        <v>0</v>
      </c>
      <c r="F106" s="86" t="s">
        <v>61</v>
      </c>
      <c r="H106" s="2"/>
      <c r="I106" s="2"/>
    </row>
    <row r="107" spans="1:9" ht="15.75">
      <c r="A107" s="131" t="s">
        <v>74</v>
      </c>
      <c r="B107" s="132"/>
      <c r="C107" s="132"/>
      <c r="D107" s="132"/>
      <c r="E107" s="132"/>
      <c r="F107" s="133"/>
      <c r="H107" s="36"/>
      <c r="I107" s="36"/>
    </row>
    <row r="108" spans="1:9" ht="15.75">
      <c r="A108" s="141" t="s">
        <v>75</v>
      </c>
      <c r="B108" s="142"/>
      <c r="C108" s="142"/>
      <c r="D108" s="142"/>
      <c r="E108" s="142"/>
      <c r="F108" s="143"/>
      <c r="H108" s="2"/>
      <c r="I108" s="2"/>
    </row>
    <row r="109" spans="1:9" ht="15.75">
      <c r="A109" s="131" t="s">
        <v>76</v>
      </c>
      <c r="B109" s="132"/>
      <c r="C109" s="132"/>
      <c r="D109" s="132"/>
      <c r="E109" s="132"/>
      <c r="F109" s="133"/>
      <c r="H109" s="2"/>
      <c r="I109" s="2"/>
    </row>
    <row r="110" spans="1:9" ht="16.5" thickBot="1">
      <c r="A110" s="134" t="s">
        <v>73</v>
      </c>
      <c r="B110" s="135"/>
      <c r="C110" s="135"/>
      <c r="D110" s="135"/>
      <c r="E110" s="135"/>
      <c r="F110" s="136"/>
      <c r="H110" s="2"/>
      <c r="I110" s="2"/>
    </row>
    <row r="111" spans="8:9" ht="12.75">
      <c r="H111" s="2"/>
      <c r="I111" s="2"/>
    </row>
    <row r="112" spans="1:9" ht="13.5" customHeight="1">
      <c r="A112" s="36"/>
      <c r="B112" s="2"/>
      <c r="C112" s="2"/>
      <c r="D112" s="2"/>
      <c r="E112" s="2"/>
      <c r="F112" s="2"/>
      <c r="G112" s="2"/>
      <c r="H112" s="2"/>
      <c r="I112" s="2"/>
    </row>
    <row r="113" spans="1:9" ht="13.5" customHeight="1">
      <c r="A113" s="118"/>
      <c r="B113" s="118"/>
      <c r="C113" s="118"/>
      <c r="D113" s="118"/>
      <c r="E113" s="118"/>
      <c r="F113" s="118"/>
      <c r="G113" s="118"/>
      <c r="H113" s="36"/>
      <c r="I113" s="36"/>
    </row>
    <row r="114" spans="1:9" ht="12.75">
      <c r="A114" s="2"/>
      <c r="B114" s="5"/>
      <c r="C114" s="5"/>
      <c r="D114" s="5"/>
      <c r="E114" s="5"/>
      <c r="F114" s="118"/>
      <c r="G114" s="118"/>
      <c r="H114" s="2"/>
      <c r="I114" s="2"/>
    </row>
    <row r="115" spans="1:9" ht="12.75">
      <c r="A115" s="2"/>
      <c r="B115" s="5"/>
      <c r="C115" s="5"/>
      <c r="D115" s="5"/>
      <c r="E115" s="5"/>
      <c r="F115" s="118"/>
      <c r="G115" s="118"/>
      <c r="H115" s="2"/>
      <c r="I115" s="2"/>
    </row>
    <row r="116" spans="1:9" ht="12.75">
      <c r="A116" s="2"/>
      <c r="B116" s="5"/>
      <c r="C116" s="5"/>
      <c r="D116" s="5"/>
      <c r="E116" s="5"/>
      <c r="F116" s="118"/>
      <c r="G116" s="118"/>
      <c r="H116" s="2"/>
      <c r="I116" s="2"/>
    </row>
    <row r="117" spans="1:9" ht="12.75">
      <c r="A117" s="2"/>
      <c r="B117" s="2"/>
      <c r="C117" s="2"/>
      <c r="D117" s="2"/>
      <c r="E117" s="5"/>
      <c r="F117" s="118"/>
      <c r="G117" s="118"/>
      <c r="H117" s="2"/>
      <c r="I117" s="2"/>
    </row>
    <row r="118" spans="1:9" ht="12.75">
      <c r="A118" s="36"/>
      <c r="B118" s="2"/>
      <c r="C118" s="2"/>
      <c r="D118" s="2"/>
      <c r="E118" s="5"/>
      <c r="F118" s="5"/>
      <c r="G118" s="5"/>
      <c r="H118" s="2"/>
      <c r="I118" s="2"/>
    </row>
    <row r="119" spans="1:9" ht="12.75">
      <c r="A119" s="2"/>
      <c r="B119" s="2"/>
      <c r="C119" s="52"/>
      <c r="D119" s="5"/>
      <c r="E119" s="53"/>
      <c r="F119" s="5"/>
      <c r="G119" s="2"/>
      <c r="H119" s="2"/>
      <c r="I119" s="2"/>
    </row>
    <row r="120" spans="1:9" ht="12.75">
      <c r="A120" s="2"/>
      <c r="B120" s="2"/>
      <c r="C120" s="5"/>
      <c r="D120" s="5"/>
      <c r="E120" s="53"/>
      <c r="F120" s="5"/>
      <c r="G120" s="2"/>
      <c r="H120" s="2"/>
      <c r="I120" s="2"/>
    </row>
    <row r="121" spans="1:9" ht="12.75">
      <c r="A121" s="2"/>
      <c r="B121" s="2"/>
      <c r="C121" s="5"/>
      <c r="D121" s="54"/>
      <c r="E121" s="43"/>
      <c r="F121" s="43"/>
      <c r="G121" s="36"/>
      <c r="H121" s="2"/>
      <c r="I121" s="2"/>
    </row>
    <row r="122" spans="1:9" ht="12.75">
      <c r="A122" s="36"/>
      <c r="B122" s="2"/>
      <c r="C122" s="5"/>
      <c r="D122" s="2"/>
      <c r="E122" s="5"/>
      <c r="F122" s="5"/>
      <c r="G122" s="2"/>
      <c r="H122" s="2"/>
      <c r="I122" s="2"/>
    </row>
    <row r="123" spans="1:9" ht="12.75">
      <c r="A123" s="125"/>
      <c r="B123" s="125"/>
      <c r="C123" s="52"/>
      <c r="D123" s="5"/>
      <c r="E123" s="53"/>
      <c r="F123" s="5"/>
      <c r="G123" s="2"/>
      <c r="H123" s="2"/>
      <c r="I123" s="2"/>
    </row>
    <row r="124" spans="1:9" ht="12.75">
      <c r="A124" s="125"/>
      <c r="B124" s="125"/>
      <c r="C124" s="5"/>
      <c r="D124" s="5"/>
      <c r="E124" s="53"/>
      <c r="F124" s="5"/>
      <c r="G124" s="2"/>
      <c r="H124" s="2"/>
      <c r="I124" s="2"/>
    </row>
    <row r="125" spans="1:9" ht="12.75">
      <c r="A125" s="125"/>
      <c r="B125" s="125"/>
      <c r="C125" s="5"/>
      <c r="D125" s="5"/>
      <c r="E125" s="53"/>
      <c r="F125" s="5"/>
      <c r="G125" s="2"/>
      <c r="H125" s="2"/>
      <c r="I125" s="2"/>
    </row>
    <row r="126" spans="1:9" ht="12.75">
      <c r="A126" s="125"/>
      <c r="B126" s="125"/>
      <c r="C126" s="5"/>
      <c r="D126" s="5"/>
      <c r="E126" s="53"/>
      <c r="F126" s="5"/>
      <c r="G126" s="2"/>
      <c r="H126" s="2"/>
      <c r="I126" s="2"/>
    </row>
    <row r="127" spans="1:9" ht="12.75">
      <c r="A127" s="55"/>
      <c r="B127" s="2"/>
      <c r="C127" s="2"/>
      <c r="D127" s="54"/>
      <c r="E127" s="36"/>
      <c r="F127" s="43"/>
      <c r="G127" s="36"/>
      <c r="H127" s="2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>
      <c r="A129" s="124"/>
      <c r="B129" s="124"/>
      <c r="C129" s="124"/>
      <c r="D129" s="124"/>
      <c r="E129" s="124"/>
      <c r="F129" s="124"/>
      <c r="G129" s="124"/>
      <c r="H129" s="2"/>
      <c r="I129" s="2"/>
    </row>
    <row r="130" spans="1:9" ht="12.75">
      <c r="A130" s="117"/>
      <c r="B130" s="117"/>
      <c r="C130" s="117"/>
      <c r="D130" s="117"/>
      <c r="E130" s="117"/>
      <c r="F130" s="117"/>
      <c r="G130" s="117"/>
      <c r="H130" s="2"/>
      <c r="I130" s="2"/>
    </row>
    <row r="131" spans="1:9" ht="12.75">
      <c r="A131" s="117"/>
      <c r="B131" s="117"/>
      <c r="C131" s="117"/>
      <c r="D131" s="117"/>
      <c r="E131" s="117"/>
      <c r="F131" s="117"/>
      <c r="G131" s="117"/>
      <c r="H131" s="2"/>
      <c r="I131" s="2"/>
    </row>
    <row r="132" spans="1:9" ht="12.75">
      <c r="A132" s="38"/>
      <c r="B132" s="38"/>
      <c r="C132" s="38"/>
      <c r="D132" s="119"/>
      <c r="E132" s="119"/>
      <c r="F132" s="38"/>
      <c r="G132" s="119"/>
      <c r="H132" s="2"/>
      <c r="I132" s="2"/>
    </row>
    <row r="133" spans="1:9" ht="12.75">
      <c r="A133" s="38"/>
      <c r="B133" s="56"/>
      <c r="C133" s="38"/>
      <c r="D133" s="57"/>
      <c r="E133" s="56"/>
      <c r="F133" s="56"/>
      <c r="G133" s="119"/>
      <c r="H133" s="2"/>
      <c r="I133" s="2"/>
    </row>
    <row r="134" spans="1:9" ht="12.75">
      <c r="A134" s="38"/>
      <c r="B134" s="58"/>
      <c r="C134" s="38"/>
      <c r="D134" s="58"/>
      <c r="E134" s="58"/>
      <c r="F134" s="58"/>
      <c r="G134" s="119"/>
      <c r="H134" s="2"/>
      <c r="I134" s="2"/>
    </row>
    <row r="135" spans="1:9" ht="12.75">
      <c r="A135" s="59"/>
      <c r="B135" s="56"/>
      <c r="C135" s="116"/>
      <c r="D135" s="60"/>
      <c r="E135" s="61"/>
      <c r="F135" s="62"/>
      <c r="G135" s="120"/>
      <c r="H135" s="2"/>
      <c r="I135" s="2"/>
    </row>
    <row r="136" spans="1:9" ht="12.75">
      <c r="A136" s="63"/>
      <c r="B136" s="58"/>
      <c r="C136" s="116"/>
      <c r="D136" s="64"/>
      <c r="E136" s="64"/>
      <c r="F136" s="65"/>
      <c r="G136" s="120"/>
      <c r="H136" s="2"/>
      <c r="I136" s="2"/>
    </row>
    <row r="137" spans="1:9" ht="12.75">
      <c r="A137" s="66"/>
      <c r="B137" s="56"/>
      <c r="C137" s="116"/>
      <c r="D137" s="60"/>
      <c r="E137" s="61"/>
      <c r="F137" s="62"/>
      <c r="G137" s="120"/>
      <c r="H137" s="36"/>
      <c r="I137" s="36"/>
    </row>
    <row r="138" spans="1:9" ht="12.75">
      <c r="A138" s="67"/>
      <c r="B138" s="58"/>
      <c r="C138" s="116"/>
      <c r="D138" s="64"/>
      <c r="E138" s="64"/>
      <c r="F138" s="65"/>
      <c r="G138" s="120"/>
      <c r="H138" s="37"/>
      <c r="I138" s="37"/>
    </row>
    <row r="139" spans="1:9" ht="12.75">
      <c r="A139" s="55"/>
      <c r="B139" s="2"/>
      <c r="C139" s="2"/>
      <c r="D139" s="2"/>
      <c r="E139" s="2"/>
      <c r="F139" s="2"/>
      <c r="G139" s="2"/>
      <c r="H139" s="37"/>
      <c r="I139" s="37"/>
    </row>
    <row r="140" spans="1:9" ht="12.75">
      <c r="A140" s="2"/>
      <c r="B140" s="2"/>
      <c r="C140" s="2"/>
      <c r="D140" s="2"/>
      <c r="E140" s="2"/>
      <c r="F140" s="2"/>
      <c r="G140" s="2"/>
      <c r="H140" s="38"/>
      <c r="I140" s="38"/>
    </row>
    <row r="141" spans="8:9" ht="12.75">
      <c r="H141" s="38"/>
      <c r="I141" s="38"/>
    </row>
    <row r="142" spans="8:9" ht="12.75">
      <c r="H142" s="38"/>
      <c r="I142" s="38"/>
    </row>
    <row r="143" spans="8:9" ht="12.75">
      <c r="H143" s="39"/>
      <c r="I143" s="39"/>
    </row>
    <row r="144" spans="8:9" ht="12.75">
      <c r="H144" s="39"/>
      <c r="I144" s="39"/>
    </row>
    <row r="145" spans="8:9" ht="12.75">
      <c r="H145" s="39"/>
      <c r="I145" s="39"/>
    </row>
    <row r="146" spans="8:9" ht="12.75">
      <c r="H146" s="39"/>
      <c r="I146" s="39"/>
    </row>
    <row r="147" spans="8:9" ht="12.75">
      <c r="H147" s="2"/>
      <c r="I147" s="2"/>
    </row>
    <row r="160" spans="8:9" ht="12.75">
      <c r="H160" s="5"/>
      <c r="I160" s="5"/>
    </row>
    <row r="164" spans="7:9" ht="12.75">
      <c r="G164" s="6"/>
      <c r="H164" s="6"/>
      <c r="I164" s="6"/>
    </row>
  </sheetData>
  <mergeCells count="104">
    <mergeCell ref="A47:A48"/>
    <mergeCell ref="A32:B32"/>
    <mergeCell ref="A33:B33"/>
    <mergeCell ref="A36:B36"/>
    <mergeCell ref="A37:B37"/>
    <mergeCell ref="A38:B38"/>
    <mergeCell ref="A39:B39"/>
    <mergeCell ref="C38:E38"/>
    <mergeCell ref="C39:E39"/>
    <mergeCell ref="D44:D45"/>
    <mergeCell ref="E44:F45"/>
    <mergeCell ref="B44:C44"/>
    <mergeCell ref="C33:E33"/>
    <mergeCell ref="C35:E35"/>
    <mergeCell ref="C36:E36"/>
    <mergeCell ref="C37:E37"/>
    <mergeCell ref="A18:B18"/>
    <mergeCell ref="A19:B19"/>
    <mergeCell ref="A22:B22"/>
    <mergeCell ref="A24:B24"/>
    <mergeCell ref="A21:B21"/>
    <mergeCell ref="A23:B23"/>
    <mergeCell ref="A25:B25"/>
    <mergeCell ref="A26:B26"/>
    <mergeCell ref="A27:B27"/>
    <mergeCell ref="A28:B28"/>
    <mergeCell ref="C31:E31"/>
    <mergeCell ref="C32:E32"/>
    <mergeCell ref="A29:F29"/>
    <mergeCell ref="A64:C64"/>
    <mergeCell ref="D54:F54"/>
    <mergeCell ref="A55:F55"/>
    <mergeCell ref="A56:F56"/>
    <mergeCell ref="A57:C57"/>
    <mergeCell ref="A58:C58"/>
    <mergeCell ref="A59:C59"/>
    <mergeCell ref="C20:C21"/>
    <mergeCell ref="F20:F21"/>
    <mergeCell ref="G137:G138"/>
    <mergeCell ref="C135:C136"/>
    <mergeCell ref="D132:E132"/>
    <mergeCell ref="F115:G115"/>
    <mergeCell ref="F116:G116"/>
    <mergeCell ref="F117:G117"/>
    <mergeCell ref="G135:G136"/>
    <mergeCell ref="A63:F63"/>
    <mergeCell ref="C137:C138"/>
    <mergeCell ref="A124:B124"/>
    <mergeCell ref="A130:G131"/>
    <mergeCell ref="A113:D113"/>
    <mergeCell ref="E113:G113"/>
    <mergeCell ref="F114:G114"/>
    <mergeCell ref="G132:G134"/>
    <mergeCell ref="C3:F3"/>
    <mergeCell ref="C4:F4"/>
    <mergeCell ref="A129:G129"/>
    <mergeCell ref="A125:B125"/>
    <mergeCell ref="A126:B126"/>
    <mergeCell ref="A123:B123"/>
    <mergeCell ref="C5:F5"/>
    <mergeCell ref="C22:C23"/>
    <mergeCell ref="F22:F23"/>
    <mergeCell ref="A54:C54"/>
    <mergeCell ref="D57:F57"/>
    <mergeCell ref="D58:F58"/>
    <mergeCell ref="D59:F59"/>
    <mergeCell ref="A70:C70"/>
    <mergeCell ref="A65:C65"/>
    <mergeCell ref="A66:C66"/>
    <mergeCell ref="D64:F64"/>
    <mergeCell ref="D65:F65"/>
    <mergeCell ref="D66:F66"/>
    <mergeCell ref="A71:C71"/>
    <mergeCell ref="A72:C72"/>
    <mergeCell ref="D70:F70"/>
    <mergeCell ref="D71:F71"/>
    <mergeCell ref="D72:F72"/>
    <mergeCell ref="A76:C76"/>
    <mergeCell ref="A77:C77"/>
    <mergeCell ref="A78:C78"/>
    <mergeCell ref="D76:F76"/>
    <mergeCell ref="D77:F77"/>
    <mergeCell ref="D78:F78"/>
    <mergeCell ref="A82:C82"/>
    <mergeCell ref="D82:F82"/>
    <mergeCell ref="A86:F86"/>
    <mergeCell ref="A87:F87"/>
    <mergeCell ref="A108:F108"/>
    <mergeCell ref="A103:C103"/>
    <mergeCell ref="D103:F103"/>
    <mergeCell ref="A88:C88"/>
    <mergeCell ref="A89:C89"/>
    <mergeCell ref="D88:F88"/>
    <mergeCell ref="D89:F89"/>
    <mergeCell ref="A109:F109"/>
    <mergeCell ref="A110:F110"/>
    <mergeCell ref="A93:F93"/>
    <mergeCell ref="A94:C94"/>
    <mergeCell ref="A95:C95"/>
    <mergeCell ref="D94:F94"/>
    <mergeCell ref="D95:F95"/>
    <mergeCell ref="A99:C99"/>
    <mergeCell ref="D99:F99"/>
    <mergeCell ref="A107:F107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portrait" paperSize="9" r:id="rId2"/>
  <rowBreaks count="2" manualBreakCount="2">
    <brk id="40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Institute for Risk Assessment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Safeguarding th Health of Operators</dc:title>
  <dc:subject>Exposure assessment for plant protection products</dc:subject>
  <dc:creator>Sabine Martin</dc:creator>
  <cp:keywords>German Model</cp:keywords>
  <dc:description/>
  <cp:lastModifiedBy>Martin</cp:lastModifiedBy>
  <cp:lastPrinted>2010-11-03T14:13:42Z</cp:lastPrinted>
  <dcterms:created xsi:type="dcterms:W3CDTF">2008-10-15T08:24:45Z</dcterms:created>
  <dcterms:modified xsi:type="dcterms:W3CDTF">2010-11-04T06:21:39Z</dcterms:modified>
  <cp:category/>
  <cp:version/>
  <cp:contentType/>
  <cp:contentStatus/>
</cp:coreProperties>
</file>